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rmendia\Documents\Investigación\Niveles de Competencia en el Transporte Aéreo Colombiano\"/>
    </mc:Choice>
  </mc:AlternateContent>
  <xr:revisionPtr revIDLastSave="0" documentId="13_ncr:1_{A733FA1E-EEA9-4A0D-B93C-FA0C4D20E0BF}" xr6:coauthVersionLast="38" xr6:coauthVersionMax="38" xr10:uidLastSave="{00000000-0000-0000-0000-000000000000}"/>
  <bookViews>
    <workbookView xWindow="0" yWindow="0" windowWidth="20490" windowHeight="6945" xr2:uid="{00000000-000D-0000-FFFF-FFFF00000000}"/>
  </bookViews>
  <sheets>
    <sheet name="Colombia" sheetId="1" r:id="rId1"/>
    <sheet name="Colombia (2)" sheetId="13" r:id="rId2"/>
    <sheet name="México" sheetId="4" r:id="rId3"/>
    <sheet name="México (2)" sheetId="14" r:id="rId4"/>
    <sheet name="EEUU" sheetId="5" r:id="rId5"/>
    <sheet name="EEUU (2)" sheetId="15" r:id="rId6"/>
    <sheet name="Canadá" sheetId="12" r:id="rId7"/>
    <sheet name="Canadá (2)" sheetId="16" r:id="rId8"/>
    <sheet name="Argentina" sheetId="9" r:id="rId9"/>
    <sheet name="Argentina (2)" sheetId="17" r:id="rId10"/>
    <sheet name="Chile" sheetId="11" r:id="rId11"/>
    <sheet name="Chile (2)" sheetId="18" r:id="rId12"/>
    <sheet name="Perú" sheetId="10" r:id="rId13"/>
    <sheet name="Perú (2)" sheetId="19" r:id="rId14"/>
    <sheet name="Brasil" sheetId="2" r:id="rId15"/>
    <sheet name="Brasil (2)" sheetId="20" r:id="rId16"/>
    <sheet name="España" sheetId="6" r:id="rId17"/>
    <sheet name="España (2)" sheetId="21" r:id="rId18"/>
    <sheet name="Francia" sheetId="8" r:id="rId19"/>
    <sheet name="Francia (2)" sheetId="22" r:id="rId20"/>
    <sheet name="Resultados" sheetId="3" r:id="rId21"/>
    <sheet name="Hoja1" sheetId="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6" i="1" l="1"/>
  <c r="O60" i="1"/>
  <c r="O59" i="1"/>
  <c r="O58" i="1"/>
  <c r="N60" i="1"/>
  <c r="N59" i="1"/>
  <c r="M60" i="1"/>
  <c r="M59" i="1"/>
  <c r="M58" i="1"/>
  <c r="N58" i="1"/>
  <c r="O57" i="1"/>
  <c r="O56" i="1"/>
  <c r="O55" i="1"/>
  <c r="N57" i="1"/>
  <c r="N56" i="1"/>
  <c r="N55" i="1"/>
  <c r="M57" i="1"/>
  <c r="M56" i="1"/>
  <c r="M55" i="1"/>
  <c r="O54" i="1"/>
  <c r="O53" i="1"/>
  <c r="O52" i="1"/>
  <c r="N54" i="1"/>
  <c r="N53" i="1"/>
  <c r="N52" i="1"/>
  <c r="M54" i="1"/>
  <c r="M53" i="1"/>
  <c r="M52" i="1"/>
  <c r="O51" i="1"/>
  <c r="O50" i="1"/>
  <c r="N51" i="1"/>
  <c r="N50" i="1"/>
  <c r="M51" i="1"/>
  <c r="M50" i="1"/>
  <c r="O49" i="1"/>
  <c r="O48" i="1"/>
  <c r="N49" i="1"/>
  <c r="N48" i="1"/>
  <c r="M49" i="1"/>
  <c r="M48" i="1"/>
  <c r="O47" i="1"/>
  <c r="O46" i="1"/>
  <c r="N47" i="1"/>
  <c r="N46" i="1"/>
  <c r="M47" i="1"/>
  <c r="M46" i="1"/>
  <c r="O44" i="1"/>
  <c r="O45" i="1"/>
  <c r="O43" i="1"/>
  <c r="N45" i="1"/>
  <c r="N44" i="1"/>
  <c r="N43" i="1"/>
  <c r="M45" i="1"/>
  <c r="M44" i="1"/>
  <c r="M43" i="1"/>
  <c r="R19" i="1"/>
  <c r="R18" i="1"/>
  <c r="R17" i="1"/>
  <c r="R16" i="1"/>
  <c r="R15" i="1"/>
  <c r="R14" i="1"/>
  <c r="N14" i="1" l="1"/>
  <c r="N19" i="1"/>
  <c r="N18" i="1"/>
  <c r="N17" i="1"/>
  <c r="N16" i="1"/>
  <c r="N15" i="1"/>
  <c r="C2" i="1"/>
  <c r="B136" i="13"/>
  <c r="B111" i="13"/>
  <c r="B86" i="13"/>
  <c r="B66" i="13"/>
  <c r="B46" i="13"/>
  <c r="B141" i="1"/>
  <c r="B116" i="1"/>
  <c r="B91" i="1"/>
  <c r="B66" i="1"/>
  <c r="B46" i="1"/>
  <c r="B26" i="1"/>
  <c r="B26" i="13"/>
  <c r="M19" i="1"/>
  <c r="L19" i="1"/>
  <c r="M18" i="1"/>
  <c r="L18" i="1"/>
  <c r="M17" i="1"/>
  <c r="Q19" i="1" s="1"/>
  <c r="L17" i="1"/>
  <c r="M16" i="1"/>
  <c r="Q18" i="1" s="1"/>
  <c r="L16" i="1"/>
  <c r="M15" i="1"/>
  <c r="Q17" i="1" s="1"/>
  <c r="M14" i="1"/>
  <c r="L14" i="1"/>
  <c r="L15" i="1"/>
  <c r="Q16" i="1" l="1"/>
  <c r="Q15" i="1"/>
  <c r="M20" i="1"/>
  <c r="Q14" i="1"/>
  <c r="L50" i="1"/>
  <c r="P17" i="1"/>
  <c r="L52" i="1"/>
  <c r="P18" i="1"/>
  <c r="P15" i="1"/>
  <c r="L46" i="1"/>
  <c r="L43" i="1"/>
  <c r="P14" i="1"/>
  <c r="L55" i="1"/>
  <c r="P19" i="1"/>
  <c r="L48" i="1"/>
  <c r="P16" i="1"/>
  <c r="O16" i="3"/>
  <c r="O15" i="3"/>
  <c r="O14" i="3"/>
  <c r="O13" i="3"/>
  <c r="O11" i="3"/>
  <c r="O10" i="3"/>
  <c r="O9" i="3"/>
  <c r="O8" i="3"/>
  <c r="O7" i="3"/>
  <c r="N8" i="3"/>
  <c r="N9" i="3"/>
  <c r="N10" i="3"/>
  <c r="N11" i="3"/>
  <c r="N13" i="3"/>
  <c r="N14" i="3"/>
  <c r="N15" i="3"/>
  <c r="N16" i="3"/>
  <c r="N7" i="3"/>
  <c r="S83" i="3"/>
  <c r="S81" i="3"/>
  <c r="S84" i="3"/>
  <c r="S80" i="3"/>
  <c r="S82" i="3"/>
  <c r="R83" i="3"/>
  <c r="R81" i="3"/>
  <c r="R84" i="3"/>
  <c r="R80" i="3"/>
  <c r="R82" i="3"/>
  <c r="P83" i="3"/>
  <c r="P81" i="3"/>
  <c r="P84" i="3"/>
  <c r="P80" i="3"/>
  <c r="P82" i="3"/>
  <c r="O105" i="3"/>
  <c r="O108" i="3"/>
  <c r="O107" i="3"/>
  <c r="O106" i="3"/>
  <c r="O109" i="3"/>
  <c r="N105" i="3"/>
  <c r="N108" i="3"/>
  <c r="N107" i="3"/>
  <c r="N106" i="3"/>
  <c r="N109" i="3"/>
  <c r="L105" i="3"/>
  <c r="L108" i="3"/>
  <c r="L107" i="3"/>
  <c r="L106" i="3"/>
  <c r="L109" i="3"/>
  <c r="J106" i="3"/>
  <c r="J109" i="3"/>
  <c r="J105" i="3"/>
  <c r="J107" i="3"/>
  <c r="J108" i="3"/>
  <c r="I106" i="3"/>
  <c r="I109" i="3"/>
  <c r="I105" i="3"/>
  <c r="I107" i="3"/>
  <c r="I108" i="3"/>
  <c r="G106" i="3"/>
  <c r="G109" i="3"/>
  <c r="G105" i="3"/>
  <c r="G107" i="3"/>
  <c r="G108" i="3"/>
  <c r="O94" i="3"/>
  <c r="O96" i="3"/>
  <c r="O98" i="3"/>
  <c r="O99" i="3"/>
  <c r="O95" i="3"/>
  <c r="O97" i="3"/>
  <c r="N94" i="3"/>
  <c r="N96" i="3"/>
  <c r="N98" i="3"/>
  <c r="N99" i="3"/>
  <c r="N95" i="3"/>
  <c r="N97" i="3"/>
  <c r="L94" i="3"/>
  <c r="L96" i="3"/>
  <c r="L98" i="3"/>
  <c r="L99" i="3"/>
  <c r="L95" i="3"/>
  <c r="L97" i="3"/>
  <c r="J95" i="3"/>
  <c r="J94" i="3"/>
  <c r="J99" i="3"/>
  <c r="J100" i="3"/>
  <c r="J98" i="3"/>
  <c r="J97" i="3"/>
  <c r="J96" i="3"/>
  <c r="I95" i="3"/>
  <c r="I94" i="3"/>
  <c r="I99" i="3"/>
  <c r="I100" i="3"/>
  <c r="I98" i="3"/>
  <c r="I97" i="3"/>
  <c r="I96" i="3"/>
  <c r="G95" i="3"/>
  <c r="G94" i="3"/>
  <c r="G99" i="3"/>
  <c r="G100" i="3"/>
  <c r="G98" i="3"/>
  <c r="G97" i="3"/>
  <c r="G96" i="3"/>
  <c r="E113" i="3"/>
  <c r="E111" i="3"/>
  <c r="E114" i="3"/>
  <c r="E115" i="3"/>
  <c r="E112" i="3"/>
  <c r="E106" i="3"/>
  <c r="E103" i="3"/>
  <c r="E105" i="3"/>
  <c r="E102" i="3"/>
  <c r="E104" i="3"/>
  <c r="E101" i="3"/>
  <c r="E94" i="3"/>
  <c r="E96" i="3"/>
  <c r="E95" i="3"/>
  <c r="E93" i="3"/>
  <c r="E92" i="3"/>
  <c r="E86" i="3"/>
  <c r="E87" i="3"/>
  <c r="E85" i="3"/>
  <c r="E84" i="3"/>
  <c r="E83" i="3"/>
  <c r="E78" i="3"/>
  <c r="E77" i="3"/>
  <c r="E76" i="3"/>
  <c r="E74" i="3"/>
  <c r="E75" i="3"/>
  <c r="E73" i="3"/>
  <c r="C56" i="3"/>
  <c r="C52" i="3"/>
  <c r="C57" i="3"/>
  <c r="C59" i="3"/>
  <c r="C58" i="3"/>
  <c r="C54" i="3"/>
  <c r="C61" i="3"/>
  <c r="C53" i="3"/>
  <c r="C60" i="3"/>
  <c r="C55" i="3"/>
  <c r="Q20" i="1" l="1"/>
  <c r="Q23" i="1"/>
  <c r="D115" i="22"/>
  <c r="C115" i="22"/>
  <c r="B115" i="22"/>
  <c r="E115" i="22" s="1"/>
  <c r="E112" i="22"/>
  <c r="E111" i="22"/>
  <c r="E107" i="22"/>
  <c r="J106" i="22"/>
  <c r="E106" i="22"/>
  <c r="J105" i="22"/>
  <c r="E102" i="22"/>
  <c r="E101" i="22"/>
  <c r="D90" i="22"/>
  <c r="C90" i="22"/>
  <c r="B90" i="22"/>
  <c r="E90" i="22" s="1"/>
  <c r="E87" i="22"/>
  <c r="E86" i="22"/>
  <c r="E82" i="22"/>
  <c r="J81" i="22"/>
  <c r="E81" i="22"/>
  <c r="J80" i="22"/>
  <c r="E77" i="22"/>
  <c r="E76" i="22"/>
  <c r="D65" i="22"/>
  <c r="C65" i="22"/>
  <c r="B65" i="22"/>
  <c r="E65" i="22" s="1"/>
  <c r="E62" i="22"/>
  <c r="J61" i="22"/>
  <c r="E61" i="22"/>
  <c r="J60" i="22"/>
  <c r="D121" i="22" s="1"/>
  <c r="E57" i="22"/>
  <c r="E56" i="22"/>
  <c r="D45" i="22"/>
  <c r="C45" i="22"/>
  <c r="B45" i="22"/>
  <c r="E42" i="22"/>
  <c r="J41" i="22"/>
  <c r="E41" i="22"/>
  <c r="J40" i="22"/>
  <c r="E37" i="22"/>
  <c r="E36" i="22"/>
  <c r="E25" i="22"/>
  <c r="D25" i="22"/>
  <c r="C25" i="22"/>
  <c r="B25" i="22"/>
  <c r="E22" i="22"/>
  <c r="E21" i="22"/>
  <c r="E17" i="22"/>
  <c r="J16" i="22"/>
  <c r="E16" i="22"/>
  <c r="J15" i="22"/>
  <c r="E12" i="22"/>
  <c r="E11" i="22"/>
  <c r="B121" i="21"/>
  <c r="E118" i="21"/>
  <c r="E117" i="21"/>
  <c r="E113" i="21"/>
  <c r="J112" i="21"/>
  <c r="E112" i="21"/>
  <c r="J111" i="21"/>
  <c r="C121" i="21" s="1"/>
  <c r="E108" i="21"/>
  <c r="E107" i="21"/>
  <c r="E94" i="21"/>
  <c r="E93" i="21"/>
  <c r="E89" i="21"/>
  <c r="J88" i="21"/>
  <c r="E88" i="21"/>
  <c r="J87" i="21"/>
  <c r="C97" i="21" s="1"/>
  <c r="E84" i="21"/>
  <c r="E83" i="21"/>
  <c r="E70" i="21"/>
  <c r="E69" i="21"/>
  <c r="E65" i="21"/>
  <c r="J64" i="21"/>
  <c r="E64" i="21"/>
  <c r="J63" i="21"/>
  <c r="C73" i="21" s="1"/>
  <c r="E60" i="21"/>
  <c r="E59" i="21"/>
  <c r="B49" i="21"/>
  <c r="E46" i="21"/>
  <c r="E45" i="21"/>
  <c r="E41" i="21"/>
  <c r="J40" i="21"/>
  <c r="E40" i="21"/>
  <c r="J39" i="21"/>
  <c r="C49" i="21" s="1"/>
  <c r="E36" i="21"/>
  <c r="E35" i="21"/>
  <c r="E25" i="21"/>
  <c r="D25" i="21"/>
  <c r="C25" i="21"/>
  <c r="B25" i="21"/>
  <c r="E22" i="21"/>
  <c r="E21" i="21"/>
  <c r="E17" i="21"/>
  <c r="J16" i="21"/>
  <c r="E16" i="21"/>
  <c r="J15" i="21"/>
  <c r="E12" i="21"/>
  <c r="E11" i="21"/>
  <c r="E118" i="20"/>
  <c r="E117" i="20"/>
  <c r="E113" i="20"/>
  <c r="J112" i="20"/>
  <c r="E112" i="20"/>
  <c r="J111" i="20"/>
  <c r="E108" i="20"/>
  <c r="E107" i="20"/>
  <c r="B101" i="20"/>
  <c r="B121" i="20" s="1"/>
  <c r="E94" i="20"/>
  <c r="E93" i="20"/>
  <c r="E89" i="20"/>
  <c r="J88" i="20"/>
  <c r="E88" i="20"/>
  <c r="J87" i="20"/>
  <c r="D97" i="20" s="1"/>
  <c r="E84" i="20"/>
  <c r="E83" i="20"/>
  <c r="B73" i="20"/>
  <c r="E70" i="20"/>
  <c r="E69" i="20"/>
  <c r="E65" i="20"/>
  <c r="J64" i="20"/>
  <c r="E64" i="20"/>
  <c r="J63" i="20"/>
  <c r="D73" i="20" s="1"/>
  <c r="E60" i="20"/>
  <c r="E59" i="20"/>
  <c r="E46" i="20"/>
  <c r="E45" i="20"/>
  <c r="E41" i="20"/>
  <c r="J40" i="20"/>
  <c r="E40" i="20"/>
  <c r="J39" i="20"/>
  <c r="D49" i="20" s="1"/>
  <c r="E36" i="20"/>
  <c r="E35" i="20"/>
  <c r="D25" i="20"/>
  <c r="C25" i="20"/>
  <c r="B25" i="20"/>
  <c r="E22" i="20"/>
  <c r="E21" i="20"/>
  <c r="E17" i="20"/>
  <c r="J16" i="20"/>
  <c r="E16" i="20"/>
  <c r="J15" i="20"/>
  <c r="E12" i="20"/>
  <c r="E11" i="20"/>
  <c r="C126" i="19"/>
  <c r="B126" i="19"/>
  <c r="E123" i="19"/>
  <c r="E122" i="19"/>
  <c r="E118" i="19"/>
  <c r="J117" i="19"/>
  <c r="E117" i="19"/>
  <c r="J116" i="19"/>
  <c r="D126" i="19" s="1"/>
  <c r="E113" i="19"/>
  <c r="E112" i="19"/>
  <c r="C102" i="19"/>
  <c r="E99" i="19"/>
  <c r="E98" i="19"/>
  <c r="E94" i="19"/>
  <c r="J93" i="19"/>
  <c r="E93" i="19"/>
  <c r="J92" i="19"/>
  <c r="D102" i="19" s="1"/>
  <c r="E89" i="19"/>
  <c r="E88" i="19"/>
  <c r="E75" i="19"/>
  <c r="E74" i="19"/>
  <c r="E70" i="19"/>
  <c r="E69" i="19"/>
  <c r="E65" i="19"/>
  <c r="E64" i="19"/>
  <c r="J63" i="19"/>
  <c r="D78" i="19" s="1"/>
  <c r="E60" i="19"/>
  <c r="E59" i="19"/>
  <c r="C49" i="19"/>
  <c r="E46" i="19"/>
  <c r="E45" i="19"/>
  <c r="E41" i="19"/>
  <c r="J40" i="19"/>
  <c r="E40" i="19"/>
  <c r="J39" i="19"/>
  <c r="B49" i="19" s="1"/>
  <c r="E36" i="19"/>
  <c r="E35" i="19"/>
  <c r="D25" i="19"/>
  <c r="C25" i="19"/>
  <c r="B25" i="19"/>
  <c r="E22" i="19"/>
  <c r="E21" i="19"/>
  <c r="E17" i="19"/>
  <c r="J16" i="19"/>
  <c r="E16" i="19"/>
  <c r="J15" i="19"/>
  <c r="E12" i="19"/>
  <c r="E11" i="19"/>
  <c r="B121" i="18"/>
  <c r="E118" i="18"/>
  <c r="E117" i="18"/>
  <c r="E113" i="18"/>
  <c r="J112" i="18"/>
  <c r="E112" i="18"/>
  <c r="J111" i="18"/>
  <c r="C121" i="18" s="1"/>
  <c r="E108" i="18"/>
  <c r="E107" i="18"/>
  <c r="B97" i="18"/>
  <c r="E94" i="18"/>
  <c r="E93" i="18"/>
  <c r="E89" i="18"/>
  <c r="J88" i="18"/>
  <c r="E88" i="18"/>
  <c r="J87" i="18"/>
  <c r="C97" i="18" s="1"/>
  <c r="E84" i="18"/>
  <c r="E83" i="18"/>
  <c r="E70" i="18"/>
  <c r="E69" i="18"/>
  <c r="E65" i="18"/>
  <c r="J64" i="18"/>
  <c r="E64" i="18"/>
  <c r="J63" i="18"/>
  <c r="C73" i="18" s="1"/>
  <c r="E60" i="18"/>
  <c r="E59" i="18"/>
  <c r="E46" i="18"/>
  <c r="E45" i="18"/>
  <c r="E41" i="18"/>
  <c r="J40" i="18"/>
  <c r="E40" i="18"/>
  <c r="J39" i="18"/>
  <c r="C49" i="18" s="1"/>
  <c r="E36" i="18"/>
  <c r="E35" i="18"/>
  <c r="D25" i="18"/>
  <c r="C25" i="18"/>
  <c r="B25" i="18"/>
  <c r="E22" i="18"/>
  <c r="E21" i="18"/>
  <c r="E17" i="18"/>
  <c r="J16" i="18"/>
  <c r="E16" i="18"/>
  <c r="J15" i="18"/>
  <c r="E12" i="18"/>
  <c r="E11" i="18"/>
  <c r="D140" i="17"/>
  <c r="C140" i="17"/>
  <c r="B140" i="17"/>
  <c r="E140" i="17" s="1"/>
  <c r="E137" i="17"/>
  <c r="E136" i="17"/>
  <c r="E132" i="17"/>
  <c r="J131" i="17"/>
  <c r="E131" i="17"/>
  <c r="J130" i="17"/>
  <c r="E127" i="17"/>
  <c r="E126" i="17"/>
  <c r="D115" i="17"/>
  <c r="C115" i="17"/>
  <c r="B115" i="17"/>
  <c r="E115" i="17" s="1"/>
  <c r="E112" i="17"/>
  <c r="E111" i="17"/>
  <c r="E107" i="17"/>
  <c r="J106" i="17"/>
  <c r="E106" i="17"/>
  <c r="J105" i="17"/>
  <c r="E102" i="17"/>
  <c r="E101" i="17"/>
  <c r="D90" i="17"/>
  <c r="C90" i="17"/>
  <c r="B90" i="17"/>
  <c r="E90" i="17" s="1"/>
  <c r="E87" i="17"/>
  <c r="E86" i="17"/>
  <c r="E82" i="17"/>
  <c r="J81" i="17"/>
  <c r="E81" i="17"/>
  <c r="J80" i="17"/>
  <c r="E77" i="17"/>
  <c r="E76" i="17"/>
  <c r="D65" i="17"/>
  <c r="D144" i="17" s="1"/>
  <c r="C65" i="17"/>
  <c r="B65" i="17"/>
  <c r="E65" i="17" s="1"/>
  <c r="E62" i="17"/>
  <c r="J61" i="17"/>
  <c r="E61" i="17"/>
  <c r="J60" i="17"/>
  <c r="E57" i="17"/>
  <c r="E56" i="17"/>
  <c r="D45" i="17"/>
  <c r="C45" i="17"/>
  <c r="B45" i="17"/>
  <c r="E42" i="17"/>
  <c r="J41" i="17"/>
  <c r="E41" i="17"/>
  <c r="J40" i="17"/>
  <c r="E37" i="17"/>
  <c r="E36" i="17"/>
  <c r="D25" i="17"/>
  <c r="C25" i="17"/>
  <c r="C144" i="17" s="1"/>
  <c r="B25" i="17"/>
  <c r="E22" i="17"/>
  <c r="E21" i="17"/>
  <c r="E17" i="17"/>
  <c r="J16" i="17"/>
  <c r="E16" i="17"/>
  <c r="J15" i="17"/>
  <c r="E12" i="17"/>
  <c r="E11" i="17"/>
  <c r="E161" i="16"/>
  <c r="J160" i="16"/>
  <c r="E160" i="16"/>
  <c r="J159" i="16"/>
  <c r="C169" i="16" s="1"/>
  <c r="E156" i="16"/>
  <c r="E155" i="16"/>
  <c r="D145" i="16"/>
  <c r="E137" i="16"/>
  <c r="J136" i="16"/>
  <c r="E136" i="16"/>
  <c r="J135" i="16"/>
  <c r="B145" i="16" s="1"/>
  <c r="E132" i="16"/>
  <c r="E131" i="16"/>
  <c r="E113" i="16"/>
  <c r="J112" i="16"/>
  <c r="E112" i="16"/>
  <c r="J111" i="16"/>
  <c r="C121" i="16" s="1"/>
  <c r="E108" i="16"/>
  <c r="E107" i="16"/>
  <c r="E94" i="16"/>
  <c r="E93" i="16"/>
  <c r="E89" i="16"/>
  <c r="J88" i="16"/>
  <c r="E88" i="16"/>
  <c r="J87" i="16"/>
  <c r="D97" i="16" s="1"/>
  <c r="E84" i="16"/>
  <c r="E83" i="16"/>
  <c r="E65" i="16"/>
  <c r="J64" i="16"/>
  <c r="E64" i="16"/>
  <c r="J63" i="16"/>
  <c r="B73" i="16" s="1"/>
  <c r="E60" i="16"/>
  <c r="E59" i="16"/>
  <c r="B49" i="16"/>
  <c r="E46" i="16"/>
  <c r="E45" i="16"/>
  <c r="E41" i="16"/>
  <c r="J40" i="16"/>
  <c r="E40" i="16"/>
  <c r="J39" i="16"/>
  <c r="C49" i="16" s="1"/>
  <c r="E36" i="16"/>
  <c r="E35" i="16"/>
  <c r="D25" i="16"/>
  <c r="C25" i="16"/>
  <c r="B25" i="16"/>
  <c r="E17" i="16"/>
  <c r="J16" i="16"/>
  <c r="E16" i="16"/>
  <c r="J15" i="16"/>
  <c r="E12" i="16"/>
  <c r="E11" i="16"/>
  <c r="D170" i="15"/>
  <c r="C170" i="15"/>
  <c r="E170" i="15" s="1"/>
  <c r="B170" i="15"/>
  <c r="E167" i="15"/>
  <c r="E166" i="15"/>
  <c r="E162" i="15"/>
  <c r="E161" i="15"/>
  <c r="E157" i="15"/>
  <c r="J156" i="15"/>
  <c r="E156" i="15"/>
  <c r="J155" i="15"/>
  <c r="E152" i="15"/>
  <c r="E151" i="15"/>
  <c r="D140" i="15"/>
  <c r="C140" i="15"/>
  <c r="B140" i="15"/>
  <c r="E137" i="15"/>
  <c r="E136" i="15"/>
  <c r="E132" i="15"/>
  <c r="E131" i="15"/>
  <c r="E127" i="15"/>
  <c r="E126" i="15"/>
  <c r="E122" i="15"/>
  <c r="J121" i="15"/>
  <c r="E121" i="15"/>
  <c r="J120" i="15"/>
  <c r="E117" i="15"/>
  <c r="E116" i="15"/>
  <c r="D105" i="15"/>
  <c r="C105" i="15"/>
  <c r="E105" i="15" s="1"/>
  <c r="B105" i="15"/>
  <c r="E102" i="15"/>
  <c r="E101" i="15"/>
  <c r="E97" i="15"/>
  <c r="J96" i="15"/>
  <c r="E96" i="15"/>
  <c r="J95" i="15"/>
  <c r="E92" i="15"/>
  <c r="E91" i="15"/>
  <c r="D80" i="15"/>
  <c r="C80" i="15"/>
  <c r="B80" i="15"/>
  <c r="E77" i="15"/>
  <c r="E76" i="15"/>
  <c r="E72" i="15"/>
  <c r="E71" i="15"/>
  <c r="E67" i="15"/>
  <c r="J66" i="15"/>
  <c r="E66" i="15"/>
  <c r="J65" i="15"/>
  <c r="E62" i="15"/>
  <c r="E61" i="15"/>
  <c r="D50" i="15"/>
  <c r="C50" i="15"/>
  <c r="B50" i="15"/>
  <c r="E50" i="15" s="1"/>
  <c r="E47" i="15"/>
  <c r="E46" i="15"/>
  <c r="E42" i="15"/>
  <c r="J41" i="15"/>
  <c r="E41" i="15"/>
  <c r="J40" i="15"/>
  <c r="E37" i="15"/>
  <c r="E36" i="15"/>
  <c r="D25" i="15"/>
  <c r="D174" i="15" s="1"/>
  <c r="C25" i="15"/>
  <c r="B25" i="15"/>
  <c r="E22" i="15"/>
  <c r="E21" i="15"/>
  <c r="E17" i="15"/>
  <c r="J16" i="15"/>
  <c r="E16" i="15"/>
  <c r="J15" i="15"/>
  <c r="E12" i="15"/>
  <c r="E11" i="15"/>
  <c r="E118" i="14"/>
  <c r="E117" i="14"/>
  <c r="E113" i="14"/>
  <c r="J112" i="14"/>
  <c r="E112" i="14"/>
  <c r="J111" i="14"/>
  <c r="C121" i="14" s="1"/>
  <c r="E108" i="14"/>
  <c r="E107" i="14"/>
  <c r="E89" i="14"/>
  <c r="J88" i="14"/>
  <c r="E88" i="14"/>
  <c r="J87" i="14"/>
  <c r="C97" i="14" s="1"/>
  <c r="E84" i="14"/>
  <c r="E83" i="14"/>
  <c r="D72" i="14"/>
  <c r="E65" i="14"/>
  <c r="J64" i="14"/>
  <c r="E64" i="14"/>
  <c r="J63" i="14"/>
  <c r="B72" i="14" s="1"/>
  <c r="E60" i="14"/>
  <c r="E59" i="14"/>
  <c r="E46" i="14"/>
  <c r="E45" i="14"/>
  <c r="E41" i="14"/>
  <c r="J40" i="14"/>
  <c r="E40" i="14"/>
  <c r="J39" i="14"/>
  <c r="C49" i="14" s="1"/>
  <c r="E36" i="14"/>
  <c r="E35" i="14"/>
  <c r="B25" i="14"/>
  <c r="E22" i="14"/>
  <c r="E21" i="14"/>
  <c r="E17" i="14"/>
  <c r="J16" i="14"/>
  <c r="E16" i="14"/>
  <c r="J15" i="14"/>
  <c r="C25" i="14" s="1"/>
  <c r="E12" i="14"/>
  <c r="E11" i="14"/>
  <c r="D135" i="13"/>
  <c r="C135" i="13"/>
  <c r="B135" i="13"/>
  <c r="E135" i="13" s="1"/>
  <c r="E132" i="13"/>
  <c r="E131" i="13"/>
  <c r="E127" i="13"/>
  <c r="J126" i="13"/>
  <c r="E126" i="13"/>
  <c r="J125" i="13"/>
  <c r="E122" i="13"/>
  <c r="E121" i="13"/>
  <c r="D110" i="13"/>
  <c r="C110" i="13"/>
  <c r="B110" i="13"/>
  <c r="E110" i="13" s="1"/>
  <c r="E107" i="13"/>
  <c r="E106" i="13"/>
  <c r="E102" i="13"/>
  <c r="J101" i="13"/>
  <c r="E101" i="13"/>
  <c r="J100" i="13"/>
  <c r="E97" i="13"/>
  <c r="E96" i="13"/>
  <c r="D85" i="13"/>
  <c r="C85" i="13"/>
  <c r="B85" i="13"/>
  <c r="E85" i="13" s="1"/>
  <c r="E82" i="13"/>
  <c r="J81" i="13"/>
  <c r="E81" i="13"/>
  <c r="J80" i="13"/>
  <c r="D139" i="13" s="1"/>
  <c r="E77" i="13"/>
  <c r="E76" i="13"/>
  <c r="D65" i="13"/>
  <c r="C65" i="13"/>
  <c r="B65" i="13"/>
  <c r="E62" i="13"/>
  <c r="J61" i="13"/>
  <c r="E61" i="13"/>
  <c r="J60" i="13"/>
  <c r="E57" i="13"/>
  <c r="E56" i="13"/>
  <c r="E45" i="13"/>
  <c r="D45" i="13"/>
  <c r="C45" i="13"/>
  <c r="B45" i="13"/>
  <c r="E42" i="13"/>
  <c r="J41" i="13"/>
  <c r="E41" i="13"/>
  <c r="J40" i="13"/>
  <c r="E37" i="13"/>
  <c r="E36" i="13"/>
  <c r="D25" i="13"/>
  <c r="C25" i="13"/>
  <c r="B25" i="13"/>
  <c r="B139" i="13" s="1"/>
  <c r="E22" i="13"/>
  <c r="E21" i="13"/>
  <c r="E17" i="13"/>
  <c r="J16" i="13"/>
  <c r="A139" i="13" s="1"/>
  <c r="E16" i="13"/>
  <c r="J15" i="13"/>
  <c r="E12" i="13"/>
  <c r="E11" i="13"/>
  <c r="E25" i="13" s="1"/>
  <c r="C73" i="16" l="1"/>
  <c r="E73" i="16" s="1"/>
  <c r="B49" i="14"/>
  <c r="B174" i="15"/>
  <c r="E174" i="15" s="1"/>
  <c r="E65" i="13"/>
  <c r="C174" i="15"/>
  <c r="E140" i="15"/>
  <c r="C173" i="16"/>
  <c r="C145" i="16"/>
  <c r="E145" i="16" s="1"/>
  <c r="A144" i="17"/>
  <c r="B144" i="17"/>
  <c r="E144" i="17" s="1"/>
  <c r="B146" i="17" s="1"/>
  <c r="A125" i="18"/>
  <c r="B73" i="18"/>
  <c r="E25" i="19"/>
  <c r="B102" i="19"/>
  <c r="E126" i="19"/>
  <c r="A125" i="20"/>
  <c r="C49" i="20"/>
  <c r="C97" i="20"/>
  <c r="C121" i="20"/>
  <c r="B97" i="21"/>
  <c r="E97" i="21" s="1"/>
  <c r="E45" i="22"/>
  <c r="C139" i="13"/>
  <c r="C72" i="14"/>
  <c r="C125" i="14" s="1"/>
  <c r="B121" i="14"/>
  <c r="E25" i="15"/>
  <c r="E80" i="15"/>
  <c r="E25" i="16"/>
  <c r="D73" i="16"/>
  <c r="E45" i="17"/>
  <c r="E102" i="19"/>
  <c r="C73" i="20"/>
  <c r="E73" i="20" s="1"/>
  <c r="A125" i="21"/>
  <c r="A121" i="22"/>
  <c r="B121" i="22"/>
  <c r="E121" i="22" s="1"/>
  <c r="B123" i="22" s="1"/>
  <c r="A174" i="15"/>
  <c r="A173" i="16"/>
  <c r="C97" i="16"/>
  <c r="E25" i="17"/>
  <c r="E25" i="18"/>
  <c r="B49" i="18"/>
  <c r="B125" i="18" s="1"/>
  <c r="B49" i="20"/>
  <c r="E49" i="20" s="1"/>
  <c r="B97" i="20"/>
  <c r="E97" i="20" s="1"/>
  <c r="B73" i="21"/>
  <c r="B125" i="21" s="1"/>
  <c r="C121" i="22"/>
  <c r="C125" i="21"/>
  <c r="E73" i="21"/>
  <c r="D49" i="21"/>
  <c r="D125" i="21" s="1"/>
  <c r="D73" i="21"/>
  <c r="D97" i="21"/>
  <c r="D121" i="21"/>
  <c r="E121" i="21" s="1"/>
  <c r="C125" i="20"/>
  <c r="E25" i="20"/>
  <c r="D121" i="20"/>
  <c r="E121" i="20" s="1"/>
  <c r="E49" i="19"/>
  <c r="D49" i="19"/>
  <c r="D130" i="19" s="1"/>
  <c r="B78" i="19"/>
  <c r="B130" i="19" s="1"/>
  <c r="A130" i="19"/>
  <c r="C78" i="19"/>
  <c r="C130" i="19" s="1"/>
  <c r="J64" i="19"/>
  <c r="C125" i="18"/>
  <c r="D49" i="18"/>
  <c r="D73" i="18"/>
  <c r="E73" i="18" s="1"/>
  <c r="D97" i="18"/>
  <c r="E97" i="18" s="1"/>
  <c r="D121" i="18"/>
  <c r="E121" i="18" s="1"/>
  <c r="E49" i="16"/>
  <c r="B121" i="16"/>
  <c r="D49" i="16"/>
  <c r="B97" i="16"/>
  <c r="E97" i="16" s="1"/>
  <c r="D121" i="16"/>
  <c r="D169" i="16"/>
  <c r="B169" i="16"/>
  <c r="B176" i="15"/>
  <c r="E49" i="14"/>
  <c r="B97" i="14"/>
  <c r="E97" i="14" s="1"/>
  <c r="D25" i="14"/>
  <c r="D125" i="14" s="1"/>
  <c r="D49" i="14"/>
  <c r="D97" i="14"/>
  <c r="D121" i="14"/>
  <c r="E121" i="14" s="1"/>
  <c r="A125" i="14"/>
  <c r="E139" i="13"/>
  <c r="B141" i="13" s="1"/>
  <c r="E72" i="14" l="1"/>
  <c r="E125" i="21"/>
  <c r="B125" i="20"/>
  <c r="D125" i="18"/>
  <c r="E125" i="18" s="1"/>
  <c r="B127" i="18" s="1"/>
  <c r="B173" i="16"/>
  <c r="E49" i="21"/>
  <c r="B127" i="21"/>
  <c r="D125" i="20"/>
  <c r="E125" i="20" s="1"/>
  <c r="B127" i="20" s="1"/>
  <c r="E130" i="19"/>
  <c r="B132" i="19" s="1"/>
  <c r="E78" i="19"/>
  <c r="E49" i="18"/>
  <c r="E121" i="16"/>
  <c r="E169" i="16"/>
  <c r="D173" i="16"/>
  <c r="E173" i="16" s="1"/>
  <c r="B175" i="16" s="1"/>
  <c r="B125" i="14"/>
  <c r="E125" i="14" s="1"/>
  <c r="B127" i="14" s="1"/>
  <c r="E25" i="14"/>
  <c r="E161" i="12" l="1"/>
  <c r="J160" i="12"/>
  <c r="E160" i="12"/>
  <c r="J159" i="12"/>
  <c r="B169" i="12" s="1"/>
  <c r="E156" i="12"/>
  <c r="E155" i="12"/>
  <c r="E137" i="12"/>
  <c r="J136" i="12"/>
  <c r="E136" i="12"/>
  <c r="J135" i="12"/>
  <c r="C145" i="12" s="1"/>
  <c r="E132" i="12"/>
  <c r="E131" i="12"/>
  <c r="E113" i="12"/>
  <c r="J112" i="12"/>
  <c r="E112" i="12"/>
  <c r="J111" i="12"/>
  <c r="B121" i="12" s="1"/>
  <c r="E108" i="12"/>
  <c r="E107" i="12"/>
  <c r="B97" i="12"/>
  <c r="E94" i="12"/>
  <c r="E93" i="12"/>
  <c r="E89" i="12"/>
  <c r="J88" i="12"/>
  <c r="E88" i="12"/>
  <c r="J87" i="12"/>
  <c r="D97" i="12" s="1"/>
  <c r="E84" i="12"/>
  <c r="E83" i="12"/>
  <c r="E65" i="12"/>
  <c r="J64" i="12"/>
  <c r="E64" i="12"/>
  <c r="J63" i="12"/>
  <c r="C73" i="12" s="1"/>
  <c r="E60" i="12"/>
  <c r="E59" i="12"/>
  <c r="E46" i="12"/>
  <c r="E45" i="12"/>
  <c r="E41" i="12"/>
  <c r="J40" i="12"/>
  <c r="E40" i="12"/>
  <c r="J39" i="12"/>
  <c r="C49" i="12" s="1"/>
  <c r="E36" i="12"/>
  <c r="E35" i="12"/>
  <c r="D25" i="12"/>
  <c r="C25" i="12"/>
  <c r="B25" i="12"/>
  <c r="E17" i="12"/>
  <c r="J16" i="12"/>
  <c r="E16" i="12"/>
  <c r="J15" i="12"/>
  <c r="E12" i="12"/>
  <c r="E11" i="12"/>
  <c r="E25" i="12" s="1"/>
  <c r="E118" i="11"/>
  <c r="E117" i="11"/>
  <c r="E113" i="11"/>
  <c r="J112" i="11"/>
  <c r="E112" i="11"/>
  <c r="J111" i="11"/>
  <c r="C121" i="11" s="1"/>
  <c r="E108" i="11"/>
  <c r="E107" i="11"/>
  <c r="E94" i="11"/>
  <c r="E93" i="11"/>
  <c r="E89" i="11"/>
  <c r="J88" i="11"/>
  <c r="E88" i="11"/>
  <c r="J87" i="11"/>
  <c r="C97" i="11" s="1"/>
  <c r="E84" i="11"/>
  <c r="E83" i="11"/>
  <c r="E70" i="11"/>
  <c r="E69" i="11"/>
  <c r="E65" i="11"/>
  <c r="J64" i="11"/>
  <c r="E64" i="11"/>
  <c r="J63" i="11"/>
  <c r="C73" i="11" s="1"/>
  <c r="E60" i="11"/>
  <c r="E59" i="11"/>
  <c r="E46" i="11"/>
  <c r="E45" i="11"/>
  <c r="E41" i="11"/>
  <c r="J40" i="11"/>
  <c r="E40" i="11"/>
  <c r="J39" i="11"/>
  <c r="C49" i="11" s="1"/>
  <c r="E36" i="11"/>
  <c r="E35" i="11"/>
  <c r="D25" i="11"/>
  <c r="C25" i="11"/>
  <c r="B25" i="11"/>
  <c r="E22" i="11"/>
  <c r="E21" i="11"/>
  <c r="E17" i="11"/>
  <c r="J16" i="11"/>
  <c r="E16" i="11"/>
  <c r="E25" i="11" s="1"/>
  <c r="J15" i="11"/>
  <c r="E12" i="11"/>
  <c r="E11" i="11"/>
  <c r="E123" i="10"/>
  <c r="E122" i="10"/>
  <c r="E118" i="10"/>
  <c r="J117" i="10"/>
  <c r="E117" i="10"/>
  <c r="J116" i="10"/>
  <c r="C126" i="10" s="1"/>
  <c r="E113" i="10"/>
  <c r="E112" i="10"/>
  <c r="E99" i="10"/>
  <c r="E98" i="10"/>
  <c r="E94" i="10"/>
  <c r="J93" i="10"/>
  <c r="E93" i="10"/>
  <c r="J92" i="10"/>
  <c r="C102" i="10" s="1"/>
  <c r="E89" i="10"/>
  <c r="E88" i="10"/>
  <c r="E75" i="10"/>
  <c r="E74" i="10"/>
  <c r="E70" i="10"/>
  <c r="E69" i="10"/>
  <c r="E65" i="10"/>
  <c r="E64" i="10"/>
  <c r="J63" i="10"/>
  <c r="C78" i="10" s="1"/>
  <c r="E60" i="10"/>
  <c r="E59" i="10"/>
  <c r="B49" i="10"/>
  <c r="E46" i="10"/>
  <c r="E45" i="10"/>
  <c r="E41" i="10"/>
  <c r="J40" i="10"/>
  <c r="E40" i="10"/>
  <c r="J39" i="10"/>
  <c r="D49" i="10" s="1"/>
  <c r="E36" i="10"/>
  <c r="E35" i="10"/>
  <c r="D25" i="10"/>
  <c r="C25" i="10"/>
  <c r="B25" i="10"/>
  <c r="E22" i="10"/>
  <c r="E21" i="10"/>
  <c r="E17" i="10"/>
  <c r="J16" i="10"/>
  <c r="E16" i="10"/>
  <c r="J15" i="10"/>
  <c r="E12" i="10"/>
  <c r="E11" i="10"/>
  <c r="D140" i="9"/>
  <c r="E140" i="9" s="1"/>
  <c r="C140" i="9"/>
  <c r="B140" i="9"/>
  <c r="E137" i="9"/>
  <c r="E136" i="9"/>
  <c r="E132" i="9"/>
  <c r="J131" i="9"/>
  <c r="E131" i="9"/>
  <c r="J130" i="9"/>
  <c r="E127" i="9"/>
  <c r="E126" i="9"/>
  <c r="D115" i="9"/>
  <c r="C115" i="9"/>
  <c r="B115" i="9"/>
  <c r="E112" i="9"/>
  <c r="E111" i="9"/>
  <c r="E107" i="9"/>
  <c r="J106" i="9"/>
  <c r="E106" i="9"/>
  <c r="J105" i="9"/>
  <c r="E102" i="9"/>
  <c r="E101" i="9"/>
  <c r="D90" i="9"/>
  <c r="C90" i="9"/>
  <c r="B90" i="9"/>
  <c r="E87" i="9"/>
  <c r="E86" i="9"/>
  <c r="E82" i="9"/>
  <c r="J81" i="9"/>
  <c r="E81" i="9"/>
  <c r="J80" i="9"/>
  <c r="E77" i="9"/>
  <c r="E76" i="9"/>
  <c r="D65" i="9"/>
  <c r="C65" i="9"/>
  <c r="B65" i="9"/>
  <c r="E62" i="9"/>
  <c r="J61" i="9"/>
  <c r="E61" i="9"/>
  <c r="J60" i="9"/>
  <c r="E57" i="9"/>
  <c r="E56" i="9"/>
  <c r="D45" i="9"/>
  <c r="C45" i="9"/>
  <c r="B45" i="9"/>
  <c r="E45" i="9" s="1"/>
  <c r="E42" i="9"/>
  <c r="J41" i="9"/>
  <c r="E41" i="9"/>
  <c r="J40" i="9"/>
  <c r="E37" i="9"/>
  <c r="E36" i="9"/>
  <c r="D25" i="9"/>
  <c r="C25" i="9"/>
  <c r="B25" i="9"/>
  <c r="E22" i="9"/>
  <c r="E21" i="9"/>
  <c r="E17" i="9"/>
  <c r="J16" i="9"/>
  <c r="E16" i="9"/>
  <c r="J15" i="9"/>
  <c r="E12" i="9"/>
  <c r="E11" i="9"/>
  <c r="D115" i="8"/>
  <c r="C115" i="8"/>
  <c r="B115" i="8"/>
  <c r="E115" i="8" s="1"/>
  <c r="E112" i="8"/>
  <c r="E111" i="8"/>
  <c r="E107" i="8"/>
  <c r="J106" i="8"/>
  <c r="E106" i="8"/>
  <c r="J105" i="8"/>
  <c r="E102" i="8"/>
  <c r="E101" i="8"/>
  <c r="D90" i="8"/>
  <c r="C90" i="8"/>
  <c r="B90" i="8"/>
  <c r="E90" i="8" s="1"/>
  <c r="E87" i="8"/>
  <c r="E86" i="8"/>
  <c r="E82" i="8"/>
  <c r="J81" i="8"/>
  <c r="E81" i="8"/>
  <c r="J80" i="8"/>
  <c r="E77" i="8"/>
  <c r="E76" i="8"/>
  <c r="D65" i="8"/>
  <c r="C65" i="8"/>
  <c r="B65" i="8"/>
  <c r="E62" i="8"/>
  <c r="J61" i="8"/>
  <c r="E61" i="8"/>
  <c r="J60" i="8"/>
  <c r="E57" i="8"/>
  <c r="E56" i="8"/>
  <c r="D45" i="8"/>
  <c r="C45" i="8"/>
  <c r="B45" i="8"/>
  <c r="E42" i="8"/>
  <c r="J41" i="8"/>
  <c r="E41" i="8"/>
  <c r="J40" i="8"/>
  <c r="E37" i="8"/>
  <c r="E36" i="8"/>
  <c r="D25" i="8"/>
  <c r="C25" i="8"/>
  <c r="C121" i="8" s="1"/>
  <c r="B25" i="8"/>
  <c r="E25" i="8" s="1"/>
  <c r="E22" i="8"/>
  <c r="E21" i="8"/>
  <c r="E17" i="8"/>
  <c r="J16" i="8"/>
  <c r="A121" i="8" s="1"/>
  <c r="C15" i="3" s="1"/>
  <c r="E16" i="8"/>
  <c r="J15" i="8"/>
  <c r="E12" i="8"/>
  <c r="E11" i="8"/>
  <c r="C144" i="9" l="1"/>
  <c r="D144" i="9"/>
  <c r="E115" i="9"/>
  <c r="E25" i="10"/>
  <c r="C49" i="10"/>
  <c r="C97" i="12"/>
  <c r="E97" i="12" s="1"/>
  <c r="D121" i="12"/>
  <c r="D78" i="10"/>
  <c r="C121" i="12"/>
  <c r="E121" i="12" s="1"/>
  <c r="D121" i="8"/>
  <c r="E65" i="8"/>
  <c r="E90" i="9"/>
  <c r="J64" i="10"/>
  <c r="E169" i="12"/>
  <c r="C169" i="12"/>
  <c r="C130" i="10"/>
  <c r="E45" i="8"/>
  <c r="A144" i="9"/>
  <c r="C14" i="3" s="1"/>
  <c r="B144" i="9"/>
  <c r="C21" i="3" s="1"/>
  <c r="E65" i="9"/>
  <c r="A130" i="10"/>
  <c r="C9" i="3" s="1"/>
  <c r="B73" i="12"/>
  <c r="E73" i="12" s="1"/>
  <c r="D169" i="12"/>
  <c r="C173" i="12"/>
  <c r="B145" i="12"/>
  <c r="B49" i="12"/>
  <c r="D73" i="12"/>
  <c r="D145" i="12"/>
  <c r="A173" i="12"/>
  <c r="C13" i="3" s="1"/>
  <c r="D49" i="12"/>
  <c r="C125" i="11"/>
  <c r="D97" i="11"/>
  <c r="D121" i="11"/>
  <c r="B49" i="11"/>
  <c r="B73" i="11"/>
  <c r="B97" i="11"/>
  <c r="E97" i="11" s="1"/>
  <c r="B121" i="11"/>
  <c r="E121" i="11" s="1"/>
  <c r="A125" i="11"/>
  <c r="C12" i="3" s="1"/>
  <c r="D49" i="11"/>
  <c r="D73" i="11"/>
  <c r="D130" i="10"/>
  <c r="E49" i="10"/>
  <c r="D102" i="10"/>
  <c r="B78" i="10"/>
  <c r="E78" i="10" s="1"/>
  <c r="B102" i="10"/>
  <c r="E102" i="10" s="1"/>
  <c r="B126" i="10"/>
  <c r="D126" i="10"/>
  <c r="E144" i="9"/>
  <c r="E25" i="9"/>
  <c r="B121" i="8"/>
  <c r="D115" i="3"/>
  <c r="B115" i="3"/>
  <c r="D113" i="3"/>
  <c r="B113" i="3"/>
  <c r="D112" i="3"/>
  <c r="B112" i="3"/>
  <c r="D111" i="3"/>
  <c r="B111" i="3"/>
  <c r="D114" i="3"/>
  <c r="B114" i="3"/>
  <c r="D103" i="3"/>
  <c r="B103" i="3"/>
  <c r="D106" i="3"/>
  <c r="B106" i="3"/>
  <c r="D102" i="3"/>
  <c r="B102" i="3"/>
  <c r="D104" i="3"/>
  <c r="B104" i="3"/>
  <c r="D105" i="3"/>
  <c r="B105" i="3"/>
  <c r="D101" i="3"/>
  <c r="B101" i="3"/>
  <c r="D96" i="3"/>
  <c r="B96" i="3"/>
  <c r="D93" i="3"/>
  <c r="B93" i="3"/>
  <c r="D92" i="3"/>
  <c r="B92" i="3"/>
  <c r="D95" i="3"/>
  <c r="B95" i="3"/>
  <c r="B84" i="3"/>
  <c r="D85" i="3"/>
  <c r="B85" i="3"/>
  <c r="D86" i="3"/>
  <c r="B86" i="3"/>
  <c r="D83" i="3"/>
  <c r="B83" i="3"/>
  <c r="D87" i="3"/>
  <c r="B87" i="3"/>
  <c r="D75" i="3"/>
  <c r="B75" i="3"/>
  <c r="D77" i="3"/>
  <c r="B77" i="3"/>
  <c r="D78" i="3"/>
  <c r="B78" i="3"/>
  <c r="D76" i="3"/>
  <c r="B76" i="3"/>
  <c r="D74" i="3"/>
  <c r="B74" i="3"/>
  <c r="D73" i="3"/>
  <c r="B73" i="3"/>
  <c r="B25" i="1"/>
  <c r="J130" i="1"/>
  <c r="J105" i="1"/>
  <c r="J80" i="1"/>
  <c r="J60" i="1"/>
  <c r="J40" i="1"/>
  <c r="J15" i="1"/>
  <c r="J109" i="6"/>
  <c r="J88" i="6"/>
  <c r="J62" i="6"/>
  <c r="J41" i="6"/>
  <c r="J15" i="6"/>
  <c r="J165" i="5"/>
  <c r="J130" i="5"/>
  <c r="J100" i="5"/>
  <c r="J70" i="5"/>
  <c r="J45" i="5"/>
  <c r="J15" i="5"/>
  <c r="J90" i="4"/>
  <c r="J65" i="4"/>
  <c r="J40" i="4"/>
  <c r="J15" i="4"/>
  <c r="J114" i="2"/>
  <c r="J89" i="2"/>
  <c r="J64" i="2"/>
  <c r="J39" i="2"/>
  <c r="J15" i="2"/>
  <c r="J110" i="6"/>
  <c r="J89" i="6"/>
  <c r="J63" i="6"/>
  <c r="J42" i="6"/>
  <c r="J16" i="6"/>
  <c r="A124" i="6" s="1"/>
  <c r="C10" i="3" s="1"/>
  <c r="J166" i="5"/>
  <c r="J131" i="5"/>
  <c r="J101" i="5"/>
  <c r="J71" i="5"/>
  <c r="J46" i="5"/>
  <c r="J16" i="5"/>
  <c r="A184" i="5" s="1"/>
  <c r="C6" i="3" s="1"/>
  <c r="J91" i="4"/>
  <c r="J66" i="4"/>
  <c r="J41" i="4"/>
  <c r="J16" i="4"/>
  <c r="A104" i="4" s="1"/>
  <c r="C7" i="3" s="1"/>
  <c r="J115" i="2"/>
  <c r="J90" i="2"/>
  <c r="J65" i="2"/>
  <c r="J40" i="2"/>
  <c r="J16" i="2"/>
  <c r="A128" i="2" s="1"/>
  <c r="C8" i="3" s="1"/>
  <c r="J215" i="1"/>
  <c r="J190" i="1"/>
  <c r="J165" i="1"/>
  <c r="J131" i="1"/>
  <c r="J106" i="1"/>
  <c r="J81" i="1"/>
  <c r="J61" i="1"/>
  <c r="J41" i="1"/>
  <c r="J16" i="1"/>
  <c r="B146" i="9" l="1"/>
  <c r="C38" i="3"/>
  <c r="D125" i="11"/>
  <c r="D173" i="12"/>
  <c r="A144" i="1"/>
  <c r="C11" i="3" s="1"/>
  <c r="N12" i="3" s="1"/>
  <c r="E121" i="8"/>
  <c r="C30" i="3"/>
  <c r="E49" i="12"/>
  <c r="B173" i="12"/>
  <c r="E145" i="12"/>
  <c r="E49" i="11"/>
  <c r="E73" i="11"/>
  <c r="B125" i="11"/>
  <c r="E126" i="10"/>
  <c r="B130" i="10"/>
  <c r="C120" i="6"/>
  <c r="D120" i="6"/>
  <c r="B120" i="6"/>
  <c r="E116" i="6"/>
  <c r="E115" i="6"/>
  <c r="E111" i="6"/>
  <c r="E110" i="6"/>
  <c r="E106" i="6"/>
  <c r="E105" i="6"/>
  <c r="D94" i="6"/>
  <c r="C94" i="6"/>
  <c r="B94" i="6"/>
  <c r="E90" i="6"/>
  <c r="E89" i="6"/>
  <c r="E85" i="6"/>
  <c r="E84" i="6"/>
  <c r="C73" i="6"/>
  <c r="D73" i="6"/>
  <c r="B73" i="6"/>
  <c r="E69" i="6"/>
  <c r="E68" i="6"/>
  <c r="E64" i="6"/>
  <c r="E63" i="6"/>
  <c r="E59" i="6"/>
  <c r="E58" i="6"/>
  <c r="C47" i="6"/>
  <c r="D47" i="6"/>
  <c r="B47" i="6"/>
  <c r="E43" i="6"/>
  <c r="E42" i="6"/>
  <c r="E38" i="6"/>
  <c r="E37" i="6"/>
  <c r="C26" i="6"/>
  <c r="C124" i="6" s="1"/>
  <c r="D26" i="6"/>
  <c r="B26" i="6"/>
  <c r="E22" i="6"/>
  <c r="E21" i="6"/>
  <c r="E17" i="6"/>
  <c r="E16" i="6"/>
  <c r="E12" i="6"/>
  <c r="E11" i="6"/>
  <c r="C180" i="5"/>
  <c r="D180" i="5"/>
  <c r="B180" i="5"/>
  <c r="E177" i="5"/>
  <c r="E176" i="5"/>
  <c r="E172" i="5"/>
  <c r="E171" i="5"/>
  <c r="E167" i="5"/>
  <c r="E166" i="5"/>
  <c r="E162" i="5"/>
  <c r="E161" i="5"/>
  <c r="C150" i="5"/>
  <c r="D150" i="5"/>
  <c r="B150" i="5"/>
  <c r="E147" i="5"/>
  <c r="E146" i="5"/>
  <c r="E142" i="5"/>
  <c r="E141" i="5"/>
  <c r="E137" i="5"/>
  <c r="E136" i="5"/>
  <c r="E132" i="5"/>
  <c r="E131" i="5"/>
  <c r="E127" i="5"/>
  <c r="E126" i="5"/>
  <c r="C115" i="5"/>
  <c r="D115" i="5"/>
  <c r="B115" i="5"/>
  <c r="E112" i="5"/>
  <c r="E111" i="5"/>
  <c r="E107" i="5"/>
  <c r="E106" i="5"/>
  <c r="E102" i="5"/>
  <c r="E101" i="5"/>
  <c r="E97" i="5"/>
  <c r="E96" i="5"/>
  <c r="C85" i="5"/>
  <c r="D85" i="5"/>
  <c r="B85" i="5"/>
  <c r="E82" i="5"/>
  <c r="E81" i="5"/>
  <c r="E77" i="5"/>
  <c r="E76" i="5"/>
  <c r="E72" i="5"/>
  <c r="E71" i="5"/>
  <c r="E67" i="5"/>
  <c r="E66" i="5"/>
  <c r="C55" i="5"/>
  <c r="D55" i="5"/>
  <c r="B55" i="5"/>
  <c r="E52" i="5"/>
  <c r="E51" i="5"/>
  <c r="E47" i="5"/>
  <c r="E46" i="5"/>
  <c r="E42" i="5"/>
  <c r="E41" i="5"/>
  <c r="C30" i="5"/>
  <c r="D30" i="5"/>
  <c r="B30" i="5"/>
  <c r="E27" i="5"/>
  <c r="E26" i="5"/>
  <c r="E22" i="5"/>
  <c r="E21" i="5"/>
  <c r="E17" i="5"/>
  <c r="E16" i="5"/>
  <c r="E12" i="5"/>
  <c r="E11" i="5"/>
  <c r="C100" i="4"/>
  <c r="D100" i="4"/>
  <c r="B100" i="4"/>
  <c r="E97" i="4"/>
  <c r="E96" i="4"/>
  <c r="E92" i="4"/>
  <c r="E91" i="4"/>
  <c r="E87" i="4"/>
  <c r="E86" i="4"/>
  <c r="C75" i="4"/>
  <c r="D75" i="4"/>
  <c r="B75" i="4"/>
  <c r="E72" i="4"/>
  <c r="E71" i="4"/>
  <c r="E67" i="4"/>
  <c r="E66" i="4"/>
  <c r="E62" i="4"/>
  <c r="E61" i="4"/>
  <c r="C50" i="4"/>
  <c r="D50" i="4"/>
  <c r="B50" i="4"/>
  <c r="C25" i="4"/>
  <c r="D25" i="4"/>
  <c r="B25" i="4"/>
  <c r="E47" i="4"/>
  <c r="E46" i="4"/>
  <c r="E42" i="4"/>
  <c r="E41" i="4"/>
  <c r="E37" i="4"/>
  <c r="E36" i="4"/>
  <c r="E22" i="4"/>
  <c r="E21" i="4"/>
  <c r="E17" i="4"/>
  <c r="E16" i="4"/>
  <c r="E12" i="4"/>
  <c r="E11" i="4"/>
  <c r="B104" i="2"/>
  <c r="D84" i="3" s="1"/>
  <c r="E121" i="2"/>
  <c r="E120" i="2"/>
  <c r="E116" i="2"/>
  <c r="E115" i="2"/>
  <c r="E111" i="2"/>
  <c r="E110" i="2"/>
  <c r="C99" i="2"/>
  <c r="D99" i="2"/>
  <c r="B99" i="2"/>
  <c r="E96" i="2"/>
  <c r="E95" i="2"/>
  <c r="E91" i="2"/>
  <c r="E90" i="2"/>
  <c r="E86" i="2"/>
  <c r="E85" i="2"/>
  <c r="C74" i="2"/>
  <c r="D74" i="2"/>
  <c r="B74" i="2"/>
  <c r="E71" i="2"/>
  <c r="E70" i="2"/>
  <c r="E66" i="2"/>
  <c r="E65" i="2"/>
  <c r="E61" i="2"/>
  <c r="E60" i="2"/>
  <c r="C199" i="1"/>
  <c r="D199" i="1"/>
  <c r="B199" i="1"/>
  <c r="C224" i="1"/>
  <c r="D224" i="1"/>
  <c r="B224" i="1"/>
  <c r="E221" i="1"/>
  <c r="E220" i="1"/>
  <c r="E216" i="1"/>
  <c r="E215" i="1"/>
  <c r="E211" i="1"/>
  <c r="E210" i="1"/>
  <c r="E196" i="1"/>
  <c r="E195" i="1"/>
  <c r="E191" i="1"/>
  <c r="E190" i="1"/>
  <c r="E186" i="1"/>
  <c r="E185" i="1"/>
  <c r="C174" i="1"/>
  <c r="D174" i="1"/>
  <c r="B174" i="1"/>
  <c r="E171" i="1"/>
  <c r="E170" i="1"/>
  <c r="E166" i="1"/>
  <c r="E165" i="1"/>
  <c r="E161" i="1"/>
  <c r="E160" i="1"/>
  <c r="C140" i="1"/>
  <c r="D140" i="1"/>
  <c r="B140" i="1"/>
  <c r="E137" i="1"/>
  <c r="E136" i="1"/>
  <c r="E132" i="1"/>
  <c r="E131" i="1"/>
  <c r="E127" i="1"/>
  <c r="E126" i="1"/>
  <c r="C115" i="1"/>
  <c r="D115" i="1"/>
  <c r="B115" i="1"/>
  <c r="E112" i="1"/>
  <c r="E111" i="1"/>
  <c r="E107" i="1"/>
  <c r="E106" i="1"/>
  <c r="E102" i="1"/>
  <c r="E101" i="1"/>
  <c r="C90" i="1"/>
  <c r="D90" i="1"/>
  <c r="B90" i="1"/>
  <c r="E87" i="1"/>
  <c r="E86" i="1"/>
  <c r="E82" i="1"/>
  <c r="E81" i="1"/>
  <c r="E77" i="1"/>
  <c r="E76" i="1"/>
  <c r="C49" i="2"/>
  <c r="D49" i="2"/>
  <c r="B49" i="2"/>
  <c r="C65" i="1"/>
  <c r="D65" i="1"/>
  <c r="B65" i="1"/>
  <c r="C45" i="1"/>
  <c r="D45" i="1"/>
  <c r="B45" i="1"/>
  <c r="B124" i="2" l="1"/>
  <c r="B104" i="4"/>
  <c r="C22" i="3" s="1"/>
  <c r="B184" i="5"/>
  <c r="C25" i="3" s="1"/>
  <c r="B124" i="6"/>
  <c r="C28" i="3" s="1"/>
  <c r="E130" i="10"/>
  <c r="C23" i="3"/>
  <c r="E115" i="1"/>
  <c r="E224" i="1"/>
  <c r="E99" i="2"/>
  <c r="D124" i="2"/>
  <c r="E25" i="4"/>
  <c r="D104" i="4"/>
  <c r="D184" i="5"/>
  <c r="D124" i="6"/>
  <c r="B123" i="8"/>
  <c r="C47" i="3"/>
  <c r="E49" i="2"/>
  <c r="C124" i="2"/>
  <c r="C104" i="4"/>
  <c r="C184" i="5"/>
  <c r="E125" i="11"/>
  <c r="C24" i="3"/>
  <c r="E173" i="12"/>
  <c r="C27" i="3"/>
  <c r="E90" i="1"/>
  <c r="B144" i="1"/>
  <c r="C26" i="3" s="1"/>
  <c r="O12" i="3" s="1"/>
  <c r="E120" i="6"/>
  <c r="E94" i="6"/>
  <c r="E73" i="6"/>
  <c r="E47" i="6"/>
  <c r="E26" i="6"/>
  <c r="E180" i="5"/>
  <c r="E150" i="5"/>
  <c r="E115" i="5"/>
  <c r="E85" i="5"/>
  <c r="E55" i="5"/>
  <c r="E30" i="5"/>
  <c r="E100" i="4"/>
  <c r="E75" i="4"/>
  <c r="E50" i="4"/>
  <c r="E124" i="2"/>
  <c r="E74" i="2"/>
  <c r="E199" i="1"/>
  <c r="E174" i="1"/>
  <c r="E140" i="1"/>
  <c r="E46" i="2"/>
  <c r="E45" i="2"/>
  <c r="E41" i="2"/>
  <c r="E40" i="2"/>
  <c r="E36" i="2"/>
  <c r="E35" i="2"/>
  <c r="E62" i="1"/>
  <c r="E61" i="1"/>
  <c r="E57" i="1"/>
  <c r="E56" i="1"/>
  <c r="E42" i="1"/>
  <c r="E41" i="1"/>
  <c r="E37" i="1"/>
  <c r="E36" i="1"/>
  <c r="C25" i="2"/>
  <c r="C128" i="2" s="1"/>
  <c r="D25" i="2"/>
  <c r="D128" i="2" s="1"/>
  <c r="B25" i="2"/>
  <c r="E22" i="2"/>
  <c r="E21" i="2"/>
  <c r="E17" i="2"/>
  <c r="E16" i="2"/>
  <c r="E12" i="2"/>
  <c r="E11" i="2"/>
  <c r="C25" i="1"/>
  <c r="C144" i="1" s="1"/>
  <c r="D25" i="1"/>
  <c r="D144" i="1" s="1"/>
  <c r="E22" i="1"/>
  <c r="E21" i="1"/>
  <c r="E17" i="1"/>
  <c r="E16" i="1"/>
  <c r="E12" i="1"/>
  <c r="E11" i="1"/>
  <c r="N17" i="3" l="1"/>
  <c r="B132" i="10"/>
  <c r="C39" i="3"/>
  <c r="E124" i="6"/>
  <c r="B175" i="12"/>
  <c r="C44" i="3"/>
  <c r="B128" i="2"/>
  <c r="C29" i="3" s="1"/>
  <c r="E104" i="4"/>
  <c r="C41" i="3" s="1"/>
  <c r="E184" i="5"/>
  <c r="C42" i="3" s="1"/>
  <c r="B127" i="11"/>
  <c r="C40" i="3"/>
  <c r="E25" i="2"/>
  <c r="E128" i="2" s="1"/>
  <c r="C46" i="3" s="1"/>
  <c r="E65" i="1"/>
  <c r="E45" i="1"/>
  <c r="E25" i="1"/>
  <c r="B186" i="5" l="1"/>
  <c r="C45" i="3"/>
  <c r="B126" i="6"/>
  <c r="E144" i="1"/>
  <c r="C43" i="3" s="1"/>
  <c r="B106" i="4"/>
  <c r="B130" i="2"/>
</calcChain>
</file>

<file path=xl/sharedStrings.xml><?xml version="1.0" encoding="utf-8"?>
<sst xmlns="http://schemas.openxmlformats.org/spreadsheetml/2006/main" count="5832" uniqueCount="174">
  <si>
    <t>Bogotá - Medellín</t>
  </si>
  <si>
    <t>Aerolínea</t>
  </si>
  <si>
    <t>Avianca</t>
  </si>
  <si>
    <t>PRECIO</t>
  </si>
  <si>
    <t>Mínimo</t>
  </si>
  <si>
    <t>Máximo</t>
  </si>
  <si>
    <t>CARGOS</t>
  </si>
  <si>
    <t>IMP. + TASA</t>
  </si>
  <si>
    <t>BOLETO</t>
  </si>
  <si>
    <t>Ruta</t>
  </si>
  <si>
    <t>TOTAL</t>
  </si>
  <si>
    <t>Fecha Información</t>
  </si>
  <si>
    <t>Fecha vuelo</t>
  </si>
  <si>
    <t>Clase</t>
  </si>
  <si>
    <t>Económica</t>
  </si>
  <si>
    <t>Frecuencia diaria</t>
  </si>
  <si>
    <t>Viva Air</t>
  </si>
  <si>
    <t>LATAM</t>
  </si>
  <si>
    <t>Distancia (Km)</t>
  </si>
  <si>
    <t>Precio Promedio/km</t>
  </si>
  <si>
    <t>Rio de Janeiro - Brasilia</t>
  </si>
  <si>
    <t>Avianca Brasil</t>
  </si>
  <si>
    <t>Bogotá - Cali</t>
  </si>
  <si>
    <t>Bogotá - Cúcuta</t>
  </si>
  <si>
    <t>Rio de Janeiro - Sao Paulo</t>
  </si>
  <si>
    <t>AZUL</t>
  </si>
  <si>
    <t>Bogotá - Barranquilla</t>
  </si>
  <si>
    <t>AVIANCA</t>
  </si>
  <si>
    <t>Bogotá - Cartagena</t>
  </si>
  <si>
    <t>VIVA AIR</t>
  </si>
  <si>
    <t>Bogotá - Bucaramanga</t>
  </si>
  <si>
    <t>Medellín - Cúcuta</t>
  </si>
  <si>
    <t>Medellín - Barranquilla</t>
  </si>
  <si>
    <t>Bogotá - Pasto</t>
  </si>
  <si>
    <t>Brasilia - Sao Paulo</t>
  </si>
  <si>
    <t>AVIANCA BRASIL</t>
  </si>
  <si>
    <t>Brasilia - Belo Horizonte</t>
  </si>
  <si>
    <t>Sao Pablo - Belo Horizonte</t>
  </si>
  <si>
    <t>INTERJET</t>
  </si>
  <si>
    <t>HAHN AIR</t>
  </si>
  <si>
    <t>AEROMEXICO</t>
  </si>
  <si>
    <t>Miami - Orlando</t>
  </si>
  <si>
    <t>AMERICAN</t>
  </si>
  <si>
    <t>DELTA</t>
  </si>
  <si>
    <t>UNITED</t>
  </si>
  <si>
    <t>SILVER AIR</t>
  </si>
  <si>
    <t>Miami - Atlanta</t>
  </si>
  <si>
    <t>JETBLUE</t>
  </si>
  <si>
    <t>San Francisco - Los Angeles</t>
  </si>
  <si>
    <t>ALASKA</t>
  </si>
  <si>
    <t>San Francisco - Las Vegas</t>
  </si>
  <si>
    <t>Los Angeles - Nueva York</t>
  </si>
  <si>
    <t>Chicago - Nueva York</t>
  </si>
  <si>
    <t>Madrid - Barcelona</t>
  </si>
  <si>
    <t>AIR EUROPA</t>
  </si>
  <si>
    <t>VUELING</t>
  </si>
  <si>
    <t>IBERIA</t>
  </si>
  <si>
    <t>Madrid - La Coruña</t>
  </si>
  <si>
    <t>Barcelona - Palma de Mallorca</t>
  </si>
  <si>
    <t>Barcelona - Málaga</t>
  </si>
  <si>
    <t>Madrid - Ibiza</t>
  </si>
  <si>
    <t>IHH</t>
  </si>
  <si>
    <t>IHH Colombia</t>
  </si>
  <si>
    <t>Frecuencia</t>
  </si>
  <si>
    <t>IHH Brasil</t>
  </si>
  <si>
    <t>IHH México</t>
  </si>
  <si>
    <t>País</t>
  </si>
  <si>
    <t>Colombia</t>
  </si>
  <si>
    <t>Brasil</t>
  </si>
  <si>
    <t>México</t>
  </si>
  <si>
    <t>EEUU</t>
  </si>
  <si>
    <t>España</t>
  </si>
  <si>
    <t>Precio/Km</t>
  </si>
  <si>
    <t>CDMX - Cancún</t>
  </si>
  <si>
    <t>CDMX - Guadalajara</t>
  </si>
  <si>
    <t>CDMX - Monterrey</t>
  </si>
  <si>
    <t>CDMX - Tijuana</t>
  </si>
  <si>
    <t>EE.UU.</t>
  </si>
  <si>
    <t>Precio Boleto/Km</t>
  </si>
  <si>
    <t>Precio   Total / Km</t>
  </si>
  <si>
    <t>Imp. + Tasa  / Km</t>
  </si>
  <si>
    <t>Cargos / Km</t>
  </si>
  <si>
    <t>IHH EE.UU.</t>
  </si>
  <si>
    <t>Relación imp./Boleto</t>
  </si>
  <si>
    <t>Nota: comparar el precio/km de las rutas estudiadas con las que tienen un solo operador</t>
  </si>
  <si>
    <t>París - Toulouse</t>
  </si>
  <si>
    <t>Air France</t>
  </si>
  <si>
    <t>París - Nantes</t>
  </si>
  <si>
    <t>París - Ajaccio</t>
  </si>
  <si>
    <t>Air Corsica</t>
  </si>
  <si>
    <t>París - Lyon</t>
  </si>
  <si>
    <t>París - Niza</t>
  </si>
  <si>
    <t>Air france</t>
  </si>
  <si>
    <t>IHH Francia</t>
  </si>
  <si>
    <t>Buenos Aires - Córdoba</t>
  </si>
  <si>
    <t>Aerolíneas Argentina</t>
  </si>
  <si>
    <t>Buenos Aires - Mendoza</t>
  </si>
  <si>
    <t>Aerolíneas Argentinas</t>
  </si>
  <si>
    <t>Buenos Aires - Salta</t>
  </si>
  <si>
    <t>Buenos Aires - Bariloche</t>
  </si>
  <si>
    <t>Buenos Aires - Iguazú</t>
  </si>
  <si>
    <t>Buenos Aires - Rosario</t>
  </si>
  <si>
    <t>Avianca Argentina</t>
  </si>
  <si>
    <t>IHH Argentina</t>
  </si>
  <si>
    <t>Lima - Arequipa</t>
  </si>
  <si>
    <t>Latam</t>
  </si>
  <si>
    <t>Hahn Air</t>
  </si>
  <si>
    <t>Peruvian Airlines</t>
  </si>
  <si>
    <t>Lima - Juliaca</t>
  </si>
  <si>
    <t xml:space="preserve">Avianca </t>
  </si>
  <si>
    <t>Lima - Pucallpa</t>
  </si>
  <si>
    <t>Star Perú</t>
  </si>
  <si>
    <t>Lima - Iquitos</t>
  </si>
  <si>
    <t xml:space="preserve">Latam </t>
  </si>
  <si>
    <t>Lima - Cajamarca</t>
  </si>
  <si>
    <t>IHH Perú</t>
  </si>
  <si>
    <t xml:space="preserve">Pais </t>
  </si>
  <si>
    <t xml:space="preserve">Chile </t>
  </si>
  <si>
    <t>Santiago - Antofagasta</t>
  </si>
  <si>
    <t>Sky Airline</t>
  </si>
  <si>
    <t>Santiago - Puerto Montt</t>
  </si>
  <si>
    <t>Santiago - Concepción</t>
  </si>
  <si>
    <t xml:space="preserve"> Santiago - Punta Arenas</t>
  </si>
  <si>
    <t>Sky Airlines</t>
  </si>
  <si>
    <t>Santiago - La Serena</t>
  </si>
  <si>
    <t>IHH Chile</t>
  </si>
  <si>
    <t>Toronto-Quebec</t>
  </si>
  <si>
    <t>Air Canada</t>
  </si>
  <si>
    <t>Wesjet</t>
  </si>
  <si>
    <t>Toronto-Halifax</t>
  </si>
  <si>
    <t>Toronto-Winniepeg</t>
  </si>
  <si>
    <t>Toronto-Vancouver</t>
  </si>
  <si>
    <t>Toronto-Calgary</t>
  </si>
  <si>
    <t>Toronto-Ottawa</t>
  </si>
  <si>
    <t>Toronto-Montreal</t>
  </si>
  <si>
    <t>IHH Canadá</t>
  </si>
  <si>
    <t>CDMX- Cancún</t>
  </si>
  <si>
    <t xml:space="preserve">Interjet </t>
  </si>
  <si>
    <t>Aeromexico</t>
  </si>
  <si>
    <t>Hahnair</t>
  </si>
  <si>
    <t>CDMX-Guadalajara</t>
  </si>
  <si>
    <t>Interjet</t>
  </si>
  <si>
    <t>CDMX- Monterrey</t>
  </si>
  <si>
    <t>Monterrey- Guadalajara</t>
  </si>
  <si>
    <t>CDMX-Tijuana</t>
  </si>
  <si>
    <t>RIO DE JANEIRO - BRASILIA</t>
  </si>
  <si>
    <t>RIO DE JANEIRO -SAO PAULO</t>
  </si>
  <si>
    <t>AIR</t>
  </si>
  <si>
    <t>BRASILIA - SAO PAULO</t>
  </si>
  <si>
    <t>BRASILIA - BELO HORIZONTE</t>
  </si>
  <si>
    <t>air europa</t>
  </si>
  <si>
    <t>iberia</t>
  </si>
  <si>
    <t>vueling airlineas SA</t>
  </si>
  <si>
    <t>vueling airlines SA</t>
  </si>
  <si>
    <t>IHH España</t>
  </si>
  <si>
    <t>Canadá</t>
  </si>
  <si>
    <t>Argentina</t>
  </si>
  <si>
    <t>Chile</t>
  </si>
  <si>
    <t>Perú</t>
  </si>
  <si>
    <t>Francia</t>
  </si>
  <si>
    <t>Santiago - Punta Arenas</t>
  </si>
  <si>
    <t>Precio Total (COP)/Km</t>
  </si>
  <si>
    <t>Precio Boleto (COP)/Km</t>
  </si>
  <si>
    <t>Correlación IHH - Precio Boleto/Km</t>
  </si>
  <si>
    <t>Coeficiente de correlación</t>
  </si>
  <si>
    <t>SAO PAULO -BELLO HORIZONTE</t>
  </si>
  <si>
    <t>Precio mínimo/Km</t>
  </si>
  <si>
    <t>Coeficiente de Correlación</t>
  </si>
  <si>
    <t>Tasa de cambio COP/USD</t>
  </si>
  <si>
    <t>Correlación IHH - Precio mínimo/Km</t>
  </si>
  <si>
    <t>Dominancia de las aerolíneas</t>
  </si>
  <si>
    <t>Aerolíneas</t>
  </si>
  <si>
    <t>Frecuencias</t>
  </si>
  <si>
    <t>Porción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</si>
</sst>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€_-;\-* #,##0.00\ _€_-;_-* &quot;-&quot;??\ _€_-;_-@_-"/>
    <numFmt numFmtId="165" formatCode="_-* #,##0.00_-;\-* #,##0.00_-;_-* &quot;-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Inherit"/>
    </font>
    <font>
      <sz val="8"/>
      <color rgb="FF444444"/>
      <name val="Inherit"/>
    </font>
    <font>
      <sz val="10"/>
      <color theme="1"/>
      <name val="Inherit"/>
    </font>
    <font>
      <sz val="10"/>
      <color rgb="FF444444"/>
      <name val="Inherit"/>
    </font>
    <font>
      <u/>
      <sz val="11"/>
      <color theme="10"/>
      <name val="Calibri"/>
      <family val="2"/>
      <scheme val="minor"/>
    </font>
    <font>
      <sz val="10"/>
      <color rgb="FF666666"/>
      <name val="Inherit"/>
    </font>
    <font>
      <sz val="12"/>
      <color rgb="FF666666"/>
      <name val="Inherit"/>
    </font>
    <font>
      <sz val="11"/>
      <name val="Calibri"/>
      <family val="2"/>
      <scheme val="minor"/>
    </font>
    <font>
      <b/>
      <sz val="8"/>
      <name val="Inherit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Inherit"/>
    </font>
    <font>
      <sz val="14"/>
      <color rgb="FF000000"/>
      <name val="Arial"/>
      <family val="2"/>
    </font>
    <font>
      <b/>
      <sz val="11"/>
      <color rgb="FF000000"/>
      <name val="Inherit"/>
    </font>
    <font>
      <b/>
      <sz val="36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FAE82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14" fontId="0" fillId="0" borderId="0" xfId="0" applyNumberFormat="1"/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1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 wrapText="1"/>
    </xf>
    <xf numFmtId="3" fontId="4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3" fontId="3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0" fillId="2" borderId="0" xfId="0" applyFill="1"/>
    <xf numFmtId="0" fontId="5" fillId="2" borderId="0" xfId="0" applyFont="1" applyFill="1" applyBorder="1" applyAlignment="1">
      <alignment vertical="center"/>
    </xf>
    <xf numFmtId="14" fontId="0" fillId="2" borderId="0" xfId="0" applyNumberFormat="1" applyFill="1"/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1" fontId="0" fillId="2" borderId="1" xfId="1" applyFont="1" applyFill="1" applyBorder="1"/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0" xfId="2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2" applyBorder="1" applyAlignment="1">
      <alignment horizontal="center" vertical="center" wrapText="1"/>
    </xf>
    <xf numFmtId="3" fontId="9" fillId="0" borderId="0" xfId="0" applyNumberFormat="1" applyFont="1"/>
    <xf numFmtId="0" fontId="8" fillId="0" borderId="0" xfId="0" applyFont="1" applyAlignment="1">
      <alignment horizontal="left" vertical="center" wrapText="1" indent="1"/>
    </xf>
    <xf numFmtId="3" fontId="8" fillId="0" borderId="0" xfId="0" applyNumberFormat="1" applyFont="1" applyAlignment="1">
      <alignment horizontal="left" vertical="center" wrapText="1" indent="1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41" fontId="0" fillId="2" borderId="0" xfId="1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41" fontId="0" fillId="0" borderId="0" xfId="0" applyNumberFormat="1" applyAlignment="1">
      <alignment vertical="center"/>
    </xf>
    <xf numFmtId="164" fontId="2" fillId="0" borderId="1" xfId="3" applyFont="1" applyBorder="1" applyAlignment="1">
      <alignment horizontal="center" vertical="center"/>
    </xf>
    <xf numFmtId="164" fontId="2" fillId="0" borderId="1" xfId="3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0" fontId="0" fillId="0" borderId="1" xfId="4" applyNumberFormat="1" applyFont="1" applyBorder="1" applyAlignment="1">
      <alignment vertical="center"/>
    </xf>
    <xf numFmtId="10" fontId="0" fillId="0" borderId="1" xfId="4" applyNumberFormat="1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13" fillId="2" borderId="1" xfId="0" applyNumberFormat="1" applyFont="1" applyFill="1" applyBorder="1"/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14" fillId="0" borderId="0" xfId="0" applyNumberFormat="1" applyFont="1"/>
    <xf numFmtId="0" fontId="14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2" fontId="4" fillId="0" borderId="0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/>
    </xf>
    <xf numFmtId="3" fontId="0" fillId="2" borderId="1" xfId="1" applyNumberFormat="1" applyFont="1" applyFill="1" applyBorder="1"/>
    <xf numFmtId="2" fontId="0" fillId="0" borderId="0" xfId="0" applyNumberFormat="1"/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1" fontId="0" fillId="0" borderId="0" xfId="0" applyNumberFormat="1"/>
    <xf numFmtId="3" fontId="0" fillId="2" borderId="0" xfId="0" applyNumberFormat="1" applyFill="1"/>
    <xf numFmtId="10" fontId="2" fillId="0" borderId="1" xfId="4" applyNumberFormat="1" applyFont="1" applyBorder="1" applyAlignment="1">
      <alignment vertical="center"/>
    </xf>
    <xf numFmtId="0" fontId="0" fillId="2" borderId="1" xfId="0" applyFill="1" applyBorder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5" fontId="2" fillId="0" borderId="0" xfId="1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2" fontId="2" fillId="0" borderId="13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10" fontId="0" fillId="0" borderId="10" xfId="4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0" fontId="0" fillId="0" borderId="15" xfId="4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0" fontId="0" fillId="0" borderId="11" xfId="4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0" fontId="2" fillId="0" borderId="10" xfId="4" applyNumberFormat="1" applyFont="1" applyBorder="1" applyAlignment="1">
      <alignment horizontal="center" vertical="center"/>
    </xf>
    <xf numFmtId="10" fontId="2" fillId="0" borderId="15" xfId="4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0" fontId="2" fillId="0" borderId="11" xfId="4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5">
    <cellStyle name="Hipervínculo" xfId="2" builtinId="8"/>
    <cellStyle name="Millares" xfId="3" builtinId="3"/>
    <cellStyle name="Millares [0]" xfId="1" builtinId="6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Colombia!$M$14:$M$19</c:f>
              <c:numCache>
                <c:formatCode>0</c:formatCode>
                <c:ptCount val="6"/>
                <c:pt idx="0">
                  <c:v>4216.4716553287981</c:v>
                </c:pt>
                <c:pt idx="1">
                  <c:v>6516.7872299382725</c:v>
                </c:pt>
                <c:pt idx="2">
                  <c:v>7386.6213151927423</c:v>
                </c:pt>
                <c:pt idx="3">
                  <c:v>7402.0498866213147</c:v>
                </c:pt>
                <c:pt idx="4">
                  <c:v>4555.2800734618922</c:v>
                </c:pt>
                <c:pt idx="5">
                  <c:v>5976.5625</c:v>
                </c:pt>
              </c:numCache>
            </c:numRef>
          </c:xVal>
          <c:yVal>
            <c:numRef>
              <c:f>Colombia!$N$14:$N$19</c:f>
              <c:numCache>
                <c:formatCode>0</c:formatCode>
                <c:ptCount val="6"/>
                <c:pt idx="0">
                  <c:v>1034.6346643766997</c:v>
                </c:pt>
                <c:pt idx="1">
                  <c:v>763.48608550303572</c:v>
                </c:pt>
                <c:pt idx="2">
                  <c:v>508.64569189356587</c:v>
                </c:pt>
                <c:pt idx="3">
                  <c:v>216.16284598052795</c:v>
                </c:pt>
                <c:pt idx="4">
                  <c:v>244.27208094709542</c:v>
                </c:pt>
                <c:pt idx="5">
                  <c:v>689.20768225196161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02-4CC3-825A-A73C3DA1F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35080"/>
        <c:axId val="538529176"/>
      </c:scatterChart>
      <c:valAx>
        <c:axId val="53853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529176"/>
        <c:crosses val="autoZero"/>
        <c:crossBetween val="midCat"/>
      </c:valAx>
      <c:valAx>
        <c:axId val="53852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535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Colombia!$Q$14:$Q$19</c:f>
              <c:numCache>
                <c:formatCode>0</c:formatCode>
                <c:ptCount val="6"/>
                <c:pt idx="0">
                  <c:v>4216.4716553287981</c:v>
                </c:pt>
                <c:pt idx="1">
                  <c:v>6516.7872299382725</c:v>
                </c:pt>
                <c:pt idx="2">
                  <c:v>7386.6213151927423</c:v>
                </c:pt>
                <c:pt idx="3">
                  <c:v>7402.0498866213147</c:v>
                </c:pt>
                <c:pt idx="4">
                  <c:v>4555.2800734618922</c:v>
                </c:pt>
                <c:pt idx="5">
                  <c:v>5976.5625</c:v>
                </c:pt>
              </c:numCache>
            </c:numRef>
          </c:xVal>
          <c:yVal>
            <c:numRef>
              <c:f>Colombia!$R$14:$R$19</c:f>
              <c:numCache>
                <c:formatCode>0</c:formatCode>
                <c:ptCount val="6"/>
                <c:pt idx="0">
                  <c:v>298.82939745241163</c:v>
                </c:pt>
                <c:pt idx="1">
                  <c:v>554.09135564495091</c:v>
                </c:pt>
                <c:pt idx="2">
                  <c:v>462.97553538674094</c:v>
                </c:pt>
                <c:pt idx="3">
                  <c:v>139.90160613514686</c:v>
                </c:pt>
                <c:pt idx="4">
                  <c:v>119.15352794147361</c:v>
                </c:pt>
                <c:pt idx="5">
                  <c:v>170.17089708529494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5-4934-A63D-F3AB2139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35080"/>
        <c:axId val="538529176"/>
      </c:scatterChart>
      <c:valAx>
        <c:axId val="53853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529176"/>
        <c:crosses val="autoZero"/>
        <c:crossBetween val="midCat"/>
      </c:valAx>
      <c:valAx>
        <c:axId val="53852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535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Resultados!$C$5</c:f>
              <c:strCache>
                <c:ptCount val="1"/>
                <c:pt idx="0">
                  <c:v>IHH</c:v>
                </c:pt>
              </c:strCache>
            </c:strRef>
          </c:tx>
          <c:invertIfNegative val="0"/>
          <c:cat>
            <c:strRef>
              <c:f>Resultados!$B$6:$B$15</c:f>
              <c:strCache>
                <c:ptCount val="10"/>
                <c:pt idx="0">
                  <c:v>EEUU</c:v>
                </c:pt>
                <c:pt idx="1">
                  <c:v>México</c:v>
                </c:pt>
                <c:pt idx="2">
                  <c:v>Brasil</c:v>
                </c:pt>
                <c:pt idx="3">
                  <c:v>Perú</c:v>
                </c:pt>
                <c:pt idx="4">
                  <c:v>España</c:v>
                </c:pt>
                <c:pt idx="5">
                  <c:v>Colombia</c:v>
                </c:pt>
                <c:pt idx="6">
                  <c:v>Chile</c:v>
                </c:pt>
                <c:pt idx="7">
                  <c:v>Canadá</c:v>
                </c:pt>
                <c:pt idx="8">
                  <c:v>Argentina</c:v>
                </c:pt>
                <c:pt idx="9">
                  <c:v>Francia</c:v>
                </c:pt>
              </c:strCache>
            </c:strRef>
          </c:cat>
          <c:val>
            <c:numRef>
              <c:f>Resultados!$C$6:$C$15</c:f>
              <c:numCache>
                <c:formatCode>0</c:formatCode>
                <c:ptCount val="10"/>
                <c:pt idx="0">
                  <c:v>3283.4833696808732</c:v>
                </c:pt>
                <c:pt idx="1">
                  <c:v>4057.0215560218294</c:v>
                </c:pt>
                <c:pt idx="2">
                  <c:v>4782.8763311879084</c:v>
                </c:pt>
                <c:pt idx="3">
                  <c:v>4991.3880445795339</c:v>
                </c:pt>
                <c:pt idx="4">
                  <c:v>4992.0014124332665</c:v>
                </c:pt>
                <c:pt idx="5">
                  <c:v>5637.4075527074092</c:v>
                </c:pt>
                <c:pt idx="6">
                  <c:v>5640.9563971000644</c:v>
                </c:pt>
                <c:pt idx="7">
                  <c:v>5706.0853847120979</c:v>
                </c:pt>
                <c:pt idx="8">
                  <c:v>6372.2502452010658</c:v>
                </c:pt>
                <c:pt idx="9">
                  <c:v>9558.823529411764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7-4D6A-AAFD-DBC18D8D4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593920"/>
        <c:axId val="64595456"/>
        <c:axId val="0"/>
      </c:bar3DChart>
      <c:catAx>
        <c:axId val="6459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595456"/>
        <c:crosses val="autoZero"/>
        <c:auto val="1"/>
        <c:lblAlgn val="ctr"/>
        <c:lblOffset val="100"/>
        <c:noMultiLvlLbl val="0"/>
      </c:catAx>
      <c:valAx>
        <c:axId val="645954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459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Resultados!$C$20</c:f>
              <c:strCache>
                <c:ptCount val="1"/>
                <c:pt idx="0">
                  <c:v>Precio Boleto (COP)/Km</c:v>
                </c:pt>
              </c:strCache>
            </c:strRef>
          </c:tx>
          <c:invertIfNegative val="0"/>
          <c:cat>
            <c:strRef>
              <c:f>Resultados!$B$21:$B$30</c:f>
              <c:strCache>
                <c:ptCount val="10"/>
                <c:pt idx="0">
                  <c:v>Argentina</c:v>
                </c:pt>
                <c:pt idx="1">
                  <c:v>México</c:v>
                </c:pt>
                <c:pt idx="2">
                  <c:v>Perú</c:v>
                </c:pt>
                <c:pt idx="3">
                  <c:v>Chile</c:v>
                </c:pt>
                <c:pt idx="4">
                  <c:v>EEUU</c:v>
                </c:pt>
                <c:pt idx="5">
                  <c:v>Colombia</c:v>
                </c:pt>
                <c:pt idx="6">
                  <c:v>Canadá</c:v>
                </c:pt>
                <c:pt idx="7">
                  <c:v>España</c:v>
                </c:pt>
                <c:pt idx="8">
                  <c:v>Brasil</c:v>
                </c:pt>
                <c:pt idx="9">
                  <c:v>Francia</c:v>
                </c:pt>
              </c:strCache>
            </c:strRef>
          </c:cat>
          <c:val>
            <c:numRef>
              <c:f>Resultados!$C$21:$C$30</c:f>
              <c:numCache>
                <c:formatCode>0</c:formatCode>
                <c:ptCount val="10"/>
                <c:pt idx="0">
                  <c:v>378.25293860412023</c:v>
                </c:pt>
                <c:pt idx="1">
                  <c:v>395.43100335061104</c:v>
                </c:pt>
                <c:pt idx="2">
                  <c:v>405.71949747716775</c:v>
                </c:pt>
                <c:pt idx="3">
                  <c:v>532.63533757684502</c:v>
                </c:pt>
                <c:pt idx="4">
                  <c:v>566.65301466096798</c:v>
                </c:pt>
                <c:pt idx="5">
                  <c:v>625.37291796491354</c:v>
                </c:pt>
                <c:pt idx="6">
                  <c:v>708.96217877309812</c:v>
                </c:pt>
                <c:pt idx="7">
                  <c:v>910.56463672810526</c:v>
                </c:pt>
                <c:pt idx="8">
                  <c:v>1117.9780735389522</c:v>
                </c:pt>
                <c:pt idx="9">
                  <c:v>1475.6609902441735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A-465E-B58D-CEF4F91E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061120"/>
        <c:axId val="75062656"/>
        <c:axId val="0"/>
      </c:bar3DChart>
      <c:catAx>
        <c:axId val="7506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062656"/>
        <c:crosses val="autoZero"/>
        <c:auto val="1"/>
        <c:lblAlgn val="ctr"/>
        <c:lblOffset val="100"/>
        <c:noMultiLvlLbl val="0"/>
      </c:catAx>
      <c:valAx>
        <c:axId val="750626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5061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Precio/km Vs Distancia</a:t>
            </a:r>
          </a:p>
        </c:rich>
      </c:tx>
      <c:layout>
        <c:manualLayout>
          <c:xMode val="edge"/>
          <c:yMode val="edge"/>
          <c:x val="0.30794241110740639"/>
          <c:y val="3.3240997229916899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Colombia</c:v>
          </c:tx>
          <c:xVal>
            <c:numRef>
              <c:f>Resultados!$D$73:$D$78</c:f>
              <c:numCache>
                <c:formatCode>0.00</c:formatCode>
                <c:ptCount val="6"/>
                <c:pt idx="0">
                  <c:v>232.9</c:v>
                </c:pt>
                <c:pt idx="1">
                  <c:v>298.3</c:v>
                </c:pt>
                <c:pt idx="2">
                  <c:v>288.88</c:v>
                </c:pt>
                <c:pt idx="3">
                  <c:v>399.8</c:v>
                </c:pt>
                <c:pt idx="4">
                  <c:v>656.86</c:v>
                </c:pt>
                <c:pt idx="5">
                  <c:v>691.1</c:v>
                </c:pt>
              </c:numCache>
            </c:numRef>
          </c:xVal>
          <c:yVal>
            <c:numRef>
              <c:f>Resultados!$E$73:$E$78</c:f>
              <c:numCache>
                <c:formatCode>0.00</c:formatCode>
                <c:ptCount val="6"/>
                <c:pt idx="0">
                  <c:v>1034.6346643766997</c:v>
                </c:pt>
                <c:pt idx="1">
                  <c:v>763.48608550303572</c:v>
                </c:pt>
                <c:pt idx="2">
                  <c:v>634.11040051232339</c:v>
                </c:pt>
                <c:pt idx="3">
                  <c:v>508.64569189356587</c:v>
                </c:pt>
                <c:pt idx="4">
                  <c:v>244.27208094709542</c:v>
                </c:pt>
                <c:pt idx="5">
                  <c:v>216.16284598052795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34-4287-A4FA-92BE0FD306FD}"/>
            </c:ext>
          </c:extLst>
        </c:ser>
        <c:ser>
          <c:idx val="1"/>
          <c:order val="1"/>
          <c:tx>
            <c:v>Brasil</c:v>
          </c:tx>
          <c:xVal>
            <c:numRef>
              <c:f>Resultados!$D$83:$D$87</c:f>
              <c:numCache>
                <c:formatCode>0.00</c:formatCode>
                <c:ptCount val="5"/>
                <c:pt idx="0">
                  <c:v>352.05</c:v>
                </c:pt>
                <c:pt idx="1">
                  <c:v>516.85500000000002</c:v>
                </c:pt>
                <c:pt idx="2">
                  <c:v>594.29999999999995</c:v>
                </c:pt>
                <c:pt idx="3">
                  <c:v>799.76</c:v>
                </c:pt>
                <c:pt idx="4">
                  <c:v>918.7</c:v>
                </c:pt>
              </c:numCache>
            </c:numRef>
          </c:xVal>
          <c:yVal>
            <c:numRef>
              <c:f>Resultados!$E$83:$E$87</c:f>
              <c:numCache>
                <c:formatCode>0.00</c:formatCode>
                <c:ptCount val="5"/>
                <c:pt idx="0">
                  <c:v>1502.3246603782413</c:v>
                </c:pt>
                <c:pt idx="1">
                  <c:v>1143.9274900255252</c:v>
                </c:pt>
                <c:pt idx="2">
                  <c:v>832.01993007646729</c:v>
                </c:pt>
                <c:pt idx="3">
                  <c:v>805.38085829919783</c:v>
                </c:pt>
                <c:pt idx="4">
                  <c:v>608.4506056695019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B34-4287-A4FA-92BE0FD306FD}"/>
            </c:ext>
          </c:extLst>
        </c:ser>
        <c:ser>
          <c:idx val="2"/>
          <c:order val="2"/>
          <c:tx>
            <c:v>México</c:v>
          </c:tx>
          <c:xVal>
            <c:numRef>
              <c:f>Resultados!$D$92:$D$96</c:f>
              <c:numCache>
                <c:formatCode>0.00</c:formatCode>
                <c:ptCount val="5"/>
                <c:pt idx="0">
                  <c:v>464.62</c:v>
                </c:pt>
                <c:pt idx="1">
                  <c:v>704.58</c:v>
                </c:pt>
                <c:pt idx="2">
                  <c:v>635.70000000000005</c:v>
                </c:pt>
                <c:pt idx="3">
                  <c:v>1297.5</c:v>
                </c:pt>
                <c:pt idx="4">
                  <c:v>2301.9499999999998</c:v>
                </c:pt>
              </c:numCache>
            </c:numRef>
          </c:xVal>
          <c:yVal>
            <c:numRef>
              <c:f>Resultados!$E$92:$E$96</c:f>
              <c:numCache>
                <c:formatCode>_-* #,##0.00_-;\-* #,##0.00_-;_-* "-"_-;_-@_-</c:formatCode>
                <c:ptCount val="5"/>
                <c:pt idx="0">
                  <c:v>609.10072486737283</c:v>
                </c:pt>
                <c:pt idx="1">
                  <c:v>554.11600161706951</c:v>
                </c:pt>
                <c:pt idx="2">
                  <c:v>263.01714645272926</c:v>
                </c:pt>
                <c:pt idx="3">
                  <c:v>169.7942328347504</c:v>
                </c:pt>
                <c:pt idx="4">
                  <c:v>161.3141697634569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B34-4287-A4FA-92BE0FD306FD}"/>
            </c:ext>
          </c:extLst>
        </c:ser>
        <c:ser>
          <c:idx val="3"/>
          <c:order val="3"/>
          <c:tx>
            <c:v>EE.UU.</c:v>
          </c:tx>
          <c:xVal>
            <c:numRef>
              <c:f>Resultados!$D$101:$D$106</c:f>
              <c:numCache>
                <c:formatCode>0.00</c:formatCode>
                <c:ptCount val="6"/>
                <c:pt idx="0">
                  <c:v>312.74</c:v>
                </c:pt>
                <c:pt idx="1">
                  <c:v>664</c:v>
                </c:pt>
                <c:pt idx="2">
                  <c:v>1187.25</c:v>
                </c:pt>
                <c:pt idx="3">
                  <c:v>544.75</c:v>
                </c:pt>
                <c:pt idx="4">
                  <c:v>938</c:v>
                </c:pt>
                <c:pt idx="5">
                  <c:v>3973.63</c:v>
                </c:pt>
              </c:numCache>
            </c:numRef>
          </c:xVal>
          <c:yVal>
            <c:numRef>
              <c:f>Resultados!$E$101:$E$106</c:f>
              <c:numCache>
                <c:formatCode>0.00</c:formatCode>
                <c:ptCount val="6"/>
                <c:pt idx="0">
                  <c:v>1128.3656229937485</c:v>
                </c:pt>
                <c:pt idx="1">
                  <c:v>753.41490963855426</c:v>
                </c:pt>
                <c:pt idx="2">
                  <c:v>683.89029639066382</c:v>
                </c:pt>
                <c:pt idx="3">
                  <c:v>653.15321090447299</c:v>
                </c:pt>
                <c:pt idx="4">
                  <c:v>415.80392966045349</c:v>
                </c:pt>
                <c:pt idx="5">
                  <c:v>204.73035616934268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B34-4287-A4FA-92BE0FD306FD}"/>
            </c:ext>
          </c:extLst>
        </c:ser>
        <c:ser>
          <c:idx val="4"/>
          <c:order val="4"/>
          <c:tx>
            <c:v>España</c:v>
          </c:tx>
          <c:xVal>
            <c:numRef>
              <c:f>Resultados!$D$111:$D$115</c:f>
              <c:numCache>
                <c:formatCode>0.00</c:formatCode>
                <c:ptCount val="5"/>
                <c:pt idx="0">
                  <c:v>512.5</c:v>
                </c:pt>
                <c:pt idx="1">
                  <c:v>202.22</c:v>
                </c:pt>
                <c:pt idx="2">
                  <c:v>767.18</c:v>
                </c:pt>
                <c:pt idx="3">
                  <c:v>483.85</c:v>
                </c:pt>
                <c:pt idx="4">
                  <c:v>456.82</c:v>
                </c:pt>
              </c:numCache>
            </c:numRef>
          </c:xVal>
          <c:yVal>
            <c:numRef>
              <c:f>Resultados!$E$111:$E$115</c:f>
              <c:numCache>
                <c:formatCode>0.00</c:formatCode>
                <c:ptCount val="5"/>
                <c:pt idx="0">
                  <c:v>1277.3312486971026</c:v>
                </c:pt>
                <c:pt idx="1">
                  <c:v>914.19501554139435</c:v>
                </c:pt>
                <c:pt idx="2">
                  <c:v>874.50561924921112</c:v>
                </c:pt>
                <c:pt idx="3">
                  <c:v>862.54719847383853</c:v>
                </c:pt>
                <c:pt idx="4">
                  <c:v>564.61067034843359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B34-4287-A4FA-92BE0FD306FD}"/>
            </c:ext>
          </c:extLst>
        </c:ser>
        <c:ser>
          <c:idx val="5"/>
          <c:order val="5"/>
          <c:tx>
            <c:strRef>
              <c:f>Resultados!$G$92</c:f>
              <c:strCache>
                <c:ptCount val="1"/>
                <c:pt idx="0">
                  <c:v>Canadá</c:v>
                </c:pt>
              </c:strCache>
            </c:strRef>
          </c:tx>
          <c:xVal>
            <c:numRef>
              <c:f>Resultados!$I$94:$I$99</c:f>
              <c:numCache>
                <c:formatCode>0.00</c:formatCode>
                <c:ptCount val="6"/>
                <c:pt idx="0">
                  <c:v>363.6</c:v>
                </c:pt>
                <c:pt idx="1">
                  <c:v>505.95</c:v>
                </c:pt>
                <c:pt idx="2">
                  <c:v>725.38</c:v>
                </c:pt>
                <c:pt idx="3">
                  <c:v>1287.67</c:v>
                </c:pt>
                <c:pt idx="4">
                  <c:v>1502.47</c:v>
                </c:pt>
                <c:pt idx="5">
                  <c:v>2688.15</c:v>
                </c:pt>
              </c:numCache>
            </c:numRef>
          </c:xVal>
          <c:yVal>
            <c:numRef>
              <c:f>Resultados!$J$94:$J$99</c:f>
              <c:numCache>
                <c:formatCode>0.00</c:formatCode>
                <c:ptCount val="6"/>
                <c:pt idx="0">
                  <c:v>1261.560977526324</c:v>
                </c:pt>
                <c:pt idx="1">
                  <c:v>708.96217877309812</c:v>
                </c:pt>
                <c:pt idx="2">
                  <c:v>643.54200556949456</c:v>
                </c:pt>
                <c:pt idx="3">
                  <c:v>354.7422158556999</c:v>
                </c:pt>
                <c:pt idx="4">
                  <c:v>245.08531507007348</c:v>
                </c:pt>
                <c:pt idx="5">
                  <c:v>164.26871542451912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B34-4287-A4FA-92BE0FD306FD}"/>
            </c:ext>
          </c:extLst>
        </c:ser>
        <c:ser>
          <c:idx val="6"/>
          <c:order val="6"/>
          <c:tx>
            <c:strRef>
              <c:f>Resultados!$L$92</c:f>
              <c:strCache>
                <c:ptCount val="1"/>
                <c:pt idx="0">
                  <c:v>Argentina</c:v>
                </c:pt>
              </c:strCache>
            </c:strRef>
          </c:tx>
          <c:xVal>
            <c:numRef>
              <c:f>Resultados!$N$94:$N$99</c:f>
              <c:numCache>
                <c:formatCode>0.00</c:formatCode>
                <c:ptCount val="6"/>
                <c:pt idx="0">
                  <c:v>290.87</c:v>
                </c:pt>
                <c:pt idx="1">
                  <c:v>982.48</c:v>
                </c:pt>
                <c:pt idx="2">
                  <c:v>1072.3399999999999</c:v>
                </c:pt>
                <c:pt idx="3">
                  <c:v>654.70000000000005</c:v>
                </c:pt>
                <c:pt idx="4">
                  <c:v>1337.26</c:v>
                </c:pt>
                <c:pt idx="5">
                  <c:v>1280.19</c:v>
                </c:pt>
              </c:numCache>
            </c:numRef>
          </c:xVal>
          <c:yVal>
            <c:numRef>
              <c:f>Resultados!$O$94:$O$99</c:f>
              <c:numCache>
                <c:formatCode>0.00</c:formatCode>
                <c:ptCount val="6"/>
                <c:pt idx="0">
                  <c:v>486.70081708896294</c:v>
                </c:pt>
                <c:pt idx="1">
                  <c:v>432.78234671443693</c:v>
                </c:pt>
                <c:pt idx="2">
                  <c:v>408.73748583057204</c:v>
                </c:pt>
                <c:pt idx="3">
                  <c:v>363.40117611119592</c:v>
                </c:pt>
                <c:pt idx="4">
                  <c:v>340.21057984236421</c:v>
                </c:pt>
                <c:pt idx="5">
                  <c:v>256.92366844852023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B34-4287-A4FA-92BE0FD306FD}"/>
            </c:ext>
          </c:extLst>
        </c:ser>
        <c:ser>
          <c:idx val="7"/>
          <c:order val="7"/>
          <c:tx>
            <c:strRef>
              <c:f>Resultados!$G$103</c:f>
              <c:strCache>
                <c:ptCount val="1"/>
                <c:pt idx="0">
                  <c:v>Chile</c:v>
                </c:pt>
              </c:strCache>
            </c:strRef>
          </c:tx>
          <c:xVal>
            <c:numRef>
              <c:f>Resultados!$I$105:$I$109</c:f>
              <c:numCache>
                <c:formatCode>0.00</c:formatCode>
                <c:ptCount val="5"/>
                <c:pt idx="0">
                  <c:v>420.4</c:v>
                </c:pt>
                <c:pt idx="1">
                  <c:v>468.4</c:v>
                </c:pt>
                <c:pt idx="2">
                  <c:v>902.21</c:v>
                </c:pt>
                <c:pt idx="3">
                  <c:v>1124.53</c:v>
                </c:pt>
                <c:pt idx="4">
                  <c:v>2173</c:v>
                </c:pt>
              </c:numCache>
            </c:numRef>
          </c:xVal>
          <c:yVal>
            <c:numRef>
              <c:f>Resultados!$J$105:$J$109</c:f>
              <c:numCache>
                <c:formatCode>0.00</c:formatCode>
                <c:ptCount val="5"/>
                <c:pt idx="0">
                  <c:v>1019.8986313401157</c:v>
                </c:pt>
                <c:pt idx="1">
                  <c:v>513.29754788337198</c:v>
                </c:pt>
                <c:pt idx="2">
                  <c:v>448.59503117558336</c:v>
                </c:pt>
                <c:pt idx="3">
                  <c:v>429.81048314290922</c:v>
                </c:pt>
                <c:pt idx="4">
                  <c:v>321.74590250982334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B34-4287-A4FA-92BE0FD306FD}"/>
            </c:ext>
          </c:extLst>
        </c:ser>
        <c:ser>
          <c:idx val="8"/>
          <c:order val="8"/>
          <c:tx>
            <c:strRef>
              <c:f>Resultados!$L$103</c:f>
              <c:strCache>
                <c:ptCount val="1"/>
                <c:pt idx="0">
                  <c:v>Perú</c:v>
                </c:pt>
              </c:strCache>
            </c:strRef>
          </c:tx>
          <c:xVal>
            <c:numRef>
              <c:f>Resultados!$N$105:$N$109</c:f>
              <c:numCache>
                <c:formatCode>0.00</c:formatCode>
                <c:ptCount val="5"/>
                <c:pt idx="0">
                  <c:v>563.78</c:v>
                </c:pt>
                <c:pt idx="1">
                  <c:v>845.31</c:v>
                </c:pt>
                <c:pt idx="2">
                  <c:v>491.5</c:v>
                </c:pt>
                <c:pt idx="3">
                  <c:v>1014.47</c:v>
                </c:pt>
                <c:pt idx="4">
                  <c:v>768.78</c:v>
                </c:pt>
              </c:numCache>
            </c:numRef>
          </c:xVal>
          <c:yVal>
            <c:numRef>
              <c:f>Resultados!$O$105:$O$109</c:f>
              <c:numCache>
                <c:formatCode>0.00</c:formatCode>
                <c:ptCount val="5"/>
                <c:pt idx="0">
                  <c:v>649.54414842669132</c:v>
                </c:pt>
                <c:pt idx="1">
                  <c:v>558.17786768562223</c:v>
                </c:pt>
                <c:pt idx="2">
                  <c:v>401.62767039674463</c:v>
                </c:pt>
                <c:pt idx="3">
                  <c:v>272.44345745632131</c:v>
                </c:pt>
                <c:pt idx="4">
                  <c:v>266.85571077985037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B34-4287-A4FA-92BE0FD306FD}"/>
            </c:ext>
          </c:extLst>
        </c:ser>
        <c:ser>
          <c:idx val="9"/>
          <c:order val="9"/>
          <c:tx>
            <c:strRef>
              <c:f>Resultados!$P$78</c:f>
              <c:strCache>
                <c:ptCount val="1"/>
                <c:pt idx="0">
                  <c:v>Francia</c:v>
                </c:pt>
              </c:strCache>
            </c:strRef>
          </c:tx>
          <c:xVal>
            <c:numRef>
              <c:f>Resultados!$R$80:$R$84</c:f>
              <c:numCache>
                <c:formatCode>0.00</c:formatCode>
                <c:ptCount val="5"/>
                <c:pt idx="0">
                  <c:v>344.47</c:v>
                </c:pt>
                <c:pt idx="1">
                  <c:v>406.77</c:v>
                </c:pt>
                <c:pt idx="2">
                  <c:v>572.29</c:v>
                </c:pt>
                <c:pt idx="3">
                  <c:v>673.29</c:v>
                </c:pt>
                <c:pt idx="4">
                  <c:v>906.71</c:v>
                </c:pt>
              </c:numCache>
            </c:numRef>
          </c:xVal>
          <c:yVal>
            <c:numRef>
              <c:f>Resultados!$S$80:$S$84</c:f>
              <c:numCache>
                <c:formatCode>0.00</c:formatCode>
                <c:ptCount val="5"/>
                <c:pt idx="0">
                  <c:v>2329.2304119371788</c:v>
                </c:pt>
                <c:pt idx="1">
                  <c:v>1840.2291221083169</c:v>
                </c:pt>
                <c:pt idx="2">
                  <c:v>1605.9165807545128</c:v>
                </c:pt>
                <c:pt idx="3">
                  <c:v>1127.7458450296306</c:v>
                </c:pt>
                <c:pt idx="4">
                  <c:v>645.41032965336217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B34-4287-A4FA-92BE0FD30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7120"/>
        <c:axId val="74518912"/>
      </c:scatterChart>
      <c:valAx>
        <c:axId val="745171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4518912"/>
        <c:crosses val="autoZero"/>
        <c:crossBetween val="midCat"/>
      </c:valAx>
      <c:valAx>
        <c:axId val="74518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5171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Resultados!$C$37</c:f>
              <c:strCache>
                <c:ptCount val="1"/>
                <c:pt idx="0">
                  <c:v>Precio Total (COP)/Km</c:v>
                </c:pt>
              </c:strCache>
            </c:strRef>
          </c:tx>
          <c:invertIfNegative val="0"/>
          <c:cat>
            <c:strRef>
              <c:f>Resultados!$B$38:$B$47</c:f>
              <c:strCache>
                <c:ptCount val="10"/>
                <c:pt idx="0">
                  <c:v>Argentina</c:v>
                </c:pt>
                <c:pt idx="1">
                  <c:v>Perú</c:v>
                </c:pt>
                <c:pt idx="2">
                  <c:v>Chile</c:v>
                </c:pt>
                <c:pt idx="3">
                  <c:v>México</c:v>
                </c:pt>
                <c:pt idx="4">
                  <c:v>EEUU</c:v>
                </c:pt>
                <c:pt idx="5">
                  <c:v>Colombia</c:v>
                </c:pt>
                <c:pt idx="6">
                  <c:v>Canadá</c:v>
                </c:pt>
                <c:pt idx="7">
                  <c:v>España</c:v>
                </c:pt>
                <c:pt idx="8">
                  <c:v>Brasil</c:v>
                </c:pt>
                <c:pt idx="9">
                  <c:v>Francia</c:v>
                </c:pt>
              </c:strCache>
            </c:strRef>
          </c:cat>
          <c:val>
            <c:numRef>
              <c:f>Resultados!$C$38:$C$47</c:f>
              <c:numCache>
                <c:formatCode>0</c:formatCode>
                <c:ptCount val="10"/>
                <c:pt idx="0">
                  <c:v>488.34997915027105</c:v>
                </c:pt>
                <c:pt idx="1">
                  <c:v>592.33136849737775</c:v>
                </c:pt>
                <c:pt idx="2">
                  <c:v>598.08322284970973</c:v>
                </c:pt>
                <c:pt idx="3">
                  <c:v>642.32909529044196</c:v>
                </c:pt>
                <c:pt idx="4">
                  <c:v>680.27846798045744</c:v>
                </c:pt>
                <c:pt idx="5">
                  <c:v>821.44501571279204</c:v>
                </c:pt>
                <c:pt idx="6">
                  <c:v>919.80773261414663</c:v>
                </c:pt>
                <c:pt idx="7">
                  <c:v>1187.5102187618447</c:v>
                </c:pt>
                <c:pt idx="8">
                  <c:v>1219.1707555263997</c:v>
                </c:pt>
                <c:pt idx="9">
                  <c:v>1837.0550775059801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E-4F4C-8576-91BD52348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547968"/>
        <c:axId val="74549504"/>
        <c:axId val="0"/>
      </c:bar3DChart>
      <c:catAx>
        <c:axId val="7454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549504"/>
        <c:crosses val="autoZero"/>
        <c:auto val="1"/>
        <c:lblAlgn val="ctr"/>
        <c:lblOffset val="100"/>
        <c:noMultiLvlLbl val="0"/>
      </c:catAx>
      <c:valAx>
        <c:axId val="745495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454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Resultados!$C$51</c:f>
              <c:strCache>
                <c:ptCount val="1"/>
                <c:pt idx="0">
                  <c:v>Relación imp./Boleto</c:v>
                </c:pt>
              </c:strCache>
            </c:strRef>
          </c:tx>
          <c:invertIfNegative val="0"/>
          <c:cat>
            <c:strRef>
              <c:f>Resultados!$B$52:$B$61</c:f>
              <c:strCache>
                <c:ptCount val="10"/>
                <c:pt idx="0">
                  <c:v>Brasil</c:v>
                </c:pt>
                <c:pt idx="1">
                  <c:v>Chile</c:v>
                </c:pt>
                <c:pt idx="2">
                  <c:v>EEUU</c:v>
                </c:pt>
                <c:pt idx="3">
                  <c:v>Argentina</c:v>
                </c:pt>
                <c:pt idx="4">
                  <c:v>Francia</c:v>
                </c:pt>
                <c:pt idx="5">
                  <c:v>España</c:v>
                </c:pt>
                <c:pt idx="6">
                  <c:v>Colombia</c:v>
                </c:pt>
                <c:pt idx="7">
                  <c:v>Canadá</c:v>
                </c:pt>
                <c:pt idx="8">
                  <c:v>Perú</c:v>
                </c:pt>
                <c:pt idx="9">
                  <c:v>México</c:v>
                </c:pt>
              </c:strCache>
            </c:strRef>
          </c:cat>
          <c:val>
            <c:numRef>
              <c:f>Resultados!$C$52:$C$61</c:f>
              <c:numCache>
                <c:formatCode>0.00%</c:formatCode>
                <c:ptCount val="10"/>
                <c:pt idx="0">
                  <c:v>3.9274040435815186E-2</c:v>
                </c:pt>
                <c:pt idx="1">
                  <c:v>6.5450125562104167E-2</c:v>
                </c:pt>
                <c:pt idx="2">
                  <c:v>0.14390116359725624</c:v>
                </c:pt>
                <c:pt idx="3">
                  <c:v>0.15156591239055869</c:v>
                </c:pt>
                <c:pt idx="4">
                  <c:v>0.15465016084601213</c:v>
                </c:pt>
                <c:pt idx="5">
                  <c:v>0.16590546685781976</c:v>
                </c:pt>
                <c:pt idx="6">
                  <c:v>0.20586086900751666</c:v>
                </c:pt>
                <c:pt idx="7">
                  <c:v>0.22443668965141927</c:v>
                </c:pt>
                <c:pt idx="8">
                  <c:v>0.24663513814113103</c:v>
                </c:pt>
                <c:pt idx="9">
                  <c:v>0.31876603952871552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8-4130-8640-CE234400A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572160"/>
        <c:axId val="74573696"/>
        <c:axId val="0"/>
      </c:bar3DChart>
      <c:catAx>
        <c:axId val="7457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573696"/>
        <c:crosses val="autoZero"/>
        <c:auto val="1"/>
        <c:lblAlgn val="ctr"/>
        <c:lblOffset val="100"/>
        <c:noMultiLvlLbl val="0"/>
      </c:catAx>
      <c:valAx>
        <c:axId val="745736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457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Precio/km Vs Distancia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Colombia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Resultados!$D$73:$D$78</c:f>
              <c:numCache>
                <c:formatCode>0.00</c:formatCode>
                <c:ptCount val="6"/>
                <c:pt idx="0">
                  <c:v>232.9</c:v>
                </c:pt>
                <c:pt idx="1">
                  <c:v>298.3</c:v>
                </c:pt>
                <c:pt idx="2">
                  <c:v>288.88</c:v>
                </c:pt>
                <c:pt idx="3">
                  <c:v>399.8</c:v>
                </c:pt>
                <c:pt idx="4">
                  <c:v>656.86</c:v>
                </c:pt>
                <c:pt idx="5">
                  <c:v>691.1</c:v>
                </c:pt>
              </c:numCache>
            </c:numRef>
          </c:xVal>
          <c:yVal>
            <c:numRef>
              <c:f>Resultados!$E$73:$E$78</c:f>
              <c:numCache>
                <c:formatCode>0.00</c:formatCode>
                <c:ptCount val="6"/>
                <c:pt idx="0">
                  <c:v>1034.6346643766997</c:v>
                </c:pt>
                <c:pt idx="1">
                  <c:v>763.48608550303572</c:v>
                </c:pt>
                <c:pt idx="2">
                  <c:v>634.11040051232339</c:v>
                </c:pt>
                <c:pt idx="3">
                  <c:v>508.64569189356587</c:v>
                </c:pt>
                <c:pt idx="4">
                  <c:v>244.27208094709542</c:v>
                </c:pt>
                <c:pt idx="5">
                  <c:v>216.16284598052795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45-40D9-858E-8E68DAD85D67}"/>
            </c:ext>
          </c:extLst>
        </c:ser>
        <c:ser>
          <c:idx val="1"/>
          <c:order val="1"/>
          <c:tx>
            <c:v>Brasil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Resultados!$D$83:$D$87</c:f>
              <c:numCache>
                <c:formatCode>0.00</c:formatCode>
                <c:ptCount val="5"/>
                <c:pt idx="0">
                  <c:v>352.05</c:v>
                </c:pt>
                <c:pt idx="1">
                  <c:v>516.85500000000002</c:v>
                </c:pt>
                <c:pt idx="2">
                  <c:v>594.29999999999995</c:v>
                </c:pt>
                <c:pt idx="3">
                  <c:v>799.76</c:v>
                </c:pt>
                <c:pt idx="4">
                  <c:v>918.7</c:v>
                </c:pt>
              </c:numCache>
            </c:numRef>
          </c:xVal>
          <c:yVal>
            <c:numRef>
              <c:f>Resultados!$E$83:$E$87</c:f>
              <c:numCache>
                <c:formatCode>0.00</c:formatCode>
                <c:ptCount val="5"/>
                <c:pt idx="0">
                  <c:v>1502.3246603782413</c:v>
                </c:pt>
                <c:pt idx="1">
                  <c:v>1143.9274900255252</c:v>
                </c:pt>
                <c:pt idx="2">
                  <c:v>832.01993007646729</c:v>
                </c:pt>
                <c:pt idx="3">
                  <c:v>805.38085829919783</c:v>
                </c:pt>
                <c:pt idx="4">
                  <c:v>608.4506056695019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45-40D9-858E-8E68DAD85D67}"/>
            </c:ext>
          </c:extLst>
        </c:ser>
        <c:ser>
          <c:idx val="2"/>
          <c:order val="2"/>
          <c:tx>
            <c:v>México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Resultados!$D$92:$D$96</c:f>
              <c:numCache>
                <c:formatCode>0.00</c:formatCode>
                <c:ptCount val="5"/>
                <c:pt idx="0">
                  <c:v>464.62</c:v>
                </c:pt>
                <c:pt idx="1">
                  <c:v>704.58</c:v>
                </c:pt>
                <c:pt idx="2">
                  <c:v>635.70000000000005</c:v>
                </c:pt>
                <c:pt idx="3">
                  <c:v>1297.5</c:v>
                </c:pt>
                <c:pt idx="4">
                  <c:v>2301.9499999999998</c:v>
                </c:pt>
              </c:numCache>
            </c:numRef>
          </c:xVal>
          <c:yVal>
            <c:numRef>
              <c:f>Resultados!$E$92:$E$96</c:f>
              <c:numCache>
                <c:formatCode>_-* #,##0.00_-;\-* #,##0.00_-;_-* "-"_-;_-@_-</c:formatCode>
                <c:ptCount val="5"/>
                <c:pt idx="0">
                  <c:v>609.10072486737283</c:v>
                </c:pt>
                <c:pt idx="1">
                  <c:v>554.11600161706951</c:v>
                </c:pt>
                <c:pt idx="2">
                  <c:v>263.01714645272926</c:v>
                </c:pt>
                <c:pt idx="3">
                  <c:v>169.7942328347504</c:v>
                </c:pt>
                <c:pt idx="4">
                  <c:v>161.3141697634569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45-40D9-858E-8E68DAD85D67}"/>
            </c:ext>
          </c:extLst>
        </c:ser>
        <c:ser>
          <c:idx val="3"/>
          <c:order val="3"/>
          <c:tx>
            <c:v>EE.UU.</c:v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Resultados!$D$101:$D$106</c:f>
              <c:numCache>
                <c:formatCode>0.00</c:formatCode>
                <c:ptCount val="6"/>
                <c:pt idx="0">
                  <c:v>312.74</c:v>
                </c:pt>
                <c:pt idx="1">
                  <c:v>664</c:v>
                </c:pt>
                <c:pt idx="2">
                  <c:v>1187.25</c:v>
                </c:pt>
                <c:pt idx="3">
                  <c:v>544.75</c:v>
                </c:pt>
                <c:pt idx="4">
                  <c:v>938</c:v>
                </c:pt>
                <c:pt idx="5">
                  <c:v>3973.63</c:v>
                </c:pt>
              </c:numCache>
            </c:numRef>
          </c:xVal>
          <c:yVal>
            <c:numRef>
              <c:f>Resultados!$E$101:$E$106</c:f>
              <c:numCache>
                <c:formatCode>0.00</c:formatCode>
                <c:ptCount val="6"/>
                <c:pt idx="0">
                  <c:v>1128.3656229937485</c:v>
                </c:pt>
                <c:pt idx="1">
                  <c:v>753.41490963855426</c:v>
                </c:pt>
                <c:pt idx="2">
                  <c:v>683.89029639066382</c:v>
                </c:pt>
                <c:pt idx="3">
                  <c:v>653.15321090447299</c:v>
                </c:pt>
                <c:pt idx="4">
                  <c:v>415.80392966045349</c:v>
                </c:pt>
                <c:pt idx="5">
                  <c:v>204.73035616934268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45-40D9-858E-8E68DAD85D67}"/>
            </c:ext>
          </c:extLst>
        </c:ser>
        <c:ser>
          <c:idx val="4"/>
          <c:order val="4"/>
          <c:tx>
            <c:v>España</c:v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Resultados!$D$111:$D$115</c:f>
              <c:numCache>
                <c:formatCode>0.00</c:formatCode>
                <c:ptCount val="5"/>
                <c:pt idx="0">
                  <c:v>512.5</c:v>
                </c:pt>
                <c:pt idx="1">
                  <c:v>202.22</c:v>
                </c:pt>
                <c:pt idx="2">
                  <c:v>767.18</c:v>
                </c:pt>
                <c:pt idx="3">
                  <c:v>483.85</c:v>
                </c:pt>
                <c:pt idx="4">
                  <c:v>456.82</c:v>
                </c:pt>
              </c:numCache>
            </c:numRef>
          </c:xVal>
          <c:yVal>
            <c:numRef>
              <c:f>Resultados!$E$111:$E$115</c:f>
              <c:numCache>
                <c:formatCode>0.00</c:formatCode>
                <c:ptCount val="5"/>
                <c:pt idx="0">
                  <c:v>1277.3312486971026</c:v>
                </c:pt>
                <c:pt idx="1">
                  <c:v>914.19501554139435</c:v>
                </c:pt>
                <c:pt idx="2">
                  <c:v>874.50561924921112</c:v>
                </c:pt>
                <c:pt idx="3">
                  <c:v>862.54719847383853</c:v>
                </c:pt>
                <c:pt idx="4">
                  <c:v>564.61067034843359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945-40D9-858E-8E68DAD85D67}"/>
            </c:ext>
          </c:extLst>
        </c:ser>
        <c:ser>
          <c:idx val="5"/>
          <c:order val="5"/>
          <c:tx>
            <c:strRef>
              <c:f>Resultados!$G$92</c:f>
              <c:strCache>
                <c:ptCount val="1"/>
                <c:pt idx="0">
                  <c:v>Canadá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Resultados!$I$94:$I$99</c:f>
              <c:numCache>
                <c:formatCode>0.00</c:formatCode>
                <c:ptCount val="6"/>
                <c:pt idx="0">
                  <c:v>363.6</c:v>
                </c:pt>
                <c:pt idx="1">
                  <c:v>505.95</c:v>
                </c:pt>
                <c:pt idx="2">
                  <c:v>725.38</c:v>
                </c:pt>
                <c:pt idx="3">
                  <c:v>1287.67</c:v>
                </c:pt>
                <c:pt idx="4">
                  <c:v>1502.47</c:v>
                </c:pt>
                <c:pt idx="5">
                  <c:v>2688.15</c:v>
                </c:pt>
              </c:numCache>
            </c:numRef>
          </c:xVal>
          <c:yVal>
            <c:numRef>
              <c:f>Resultados!$J$94:$J$99</c:f>
              <c:numCache>
                <c:formatCode>0.00</c:formatCode>
                <c:ptCount val="6"/>
                <c:pt idx="0">
                  <c:v>1261.560977526324</c:v>
                </c:pt>
                <c:pt idx="1">
                  <c:v>708.96217877309812</c:v>
                </c:pt>
                <c:pt idx="2">
                  <c:v>643.54200556949456</c:v>
                </c:pt>
                <c:pt idx="3">
                  <c:v>354.7422158556999</c:v>
                </c:pt>
                <c:pt idx="4">
                  <c:v>245.08531507007348</c:v>
                </c:pt>
                <c:pt idx="5">
                  <c:v>164.26871542451912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945-40D9-858E-8E68DAD85D67}"/>
            </c:ext>
          </c:extLst>
        </c:ser>
        <c:ser>
          <c:idx val="6"/>
          <c:order val="6"/>
          <c:tx>
            <c:strRef>
              <c:f>Resultados!$L$92</c:f>
              <c:strCache>
                <c:ptCount val="1"/>
                <c:pt idx="0">
                  <c:v>Argentina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Resultados!$N$94:$N$99</c:f>
              <c:numCache>
                <c:formatCode>0.00</c:formatCode>
                <c:ptCount val="6"/>
                <c:pt idx="0">
                  <c:v>290.87</c:v>
                </c:pt>
                <c:pt idx="1">
                  <c:v>982.48</c:v>
                </c:pt>
                <c:pt idx="2">
                  <c:v>1072.3399999999999</c:v>
                </c:pt>
                <c:pt idx="3">
                  <c:v>654.70000000000005</c:v>
                </c:pt>
                <c:pt idx="4">
                  <c:v>1337.26</c:v>
                </c:pt>
                <c:pt idx="5">
                  <c:v>1280.19</c:v>
                </c:pt>
              </c:numCache>
            </c:numRef>
          </c:xVal>
          <c:yVal>
            <c:numRef>
              <c:f>Resultados!$O$94:$O$99</c:f>
              <c:numCache>
                <c:formatCode>0.00</c:formatCode>
                <c:ptCount val="6"/>
                <c:pt idx="0">
                  <c:v>486.70081708896294</c:v>
                </c:pt>
                <c:pt idx="1">
                  <c:v>432.78234671443693</c:v>
                </c:pt>
                <c:pt idx="2">
                  <c:v>408.73748583057204</c:v>
                </c:pt>
                <c:pt idx="3">
                  <c:v>363.40117611119592</c:v>
                </c:pt>
                <c:pt idx="4">
                  <c:v>340.21057984236421</c:v>
                </c:pt>
                <c:pt idx="5">
                  <c:v>256.92366844852023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945-40D9-858E-8E68DAD85D67}"/>
            </c:ext>
          </c:extLst>
        </c:ser>
        <c:ser>
          <c:idx val="7"/>
          <c:order val="7"/>
          <c:tx>
            <c:strRef>
              <c:f>Resultados!$G$103</c:f>
              <c:strCache>
                <c:ptCount val="1"/>
                <c:pt idx="0">
                  <c:v>Chile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Resultados!$I$105:$I$109</c:f>
              <c:numCache>
                <c:formatCode>0.00</c:formatCode>
                <c:ptCount val="5"/>
                <c:pt idx="0">
                  <c:v>420.4</c:v>
                </c:pt>
                <c:pt idx="1">
                  <c:v>468.4</c:v>
                </c:pt>
                <c:pt idx="2">
                  <c:v>902.21</c:v>
                </c:pt>
                <c:pt idx="3">
                  <c:v>1124.53</c:v>
                </c:pt>
                <c:pt idx="4">
                  <c:v>2173</c:v>
                </c:pt>
              </c:numCache>
            </c:numRef>
          </c:xVal>
          <c:yVal>
            <c:numRef>
              <c:f>Resultados!$J$105:$J$109</c:f>
              <c:numCache>
                <c:formatCode>0.00</c:formatCode>
                <c:ptCount val="5"/>
                <c:pt idx="0">
                  <c:v>1019.8986313401157</c:v>
                </c:pt>
                <c:pt idx="1">
                  <c:v>513.29754788337198</c:v>
                </c:pt>
                <c:pt idx="2">
                  <c:v>448.59503117558336</c:v>
                </c:pt>
                <c:pt idx="3">
                  <c:v>429.81048314290922</c:v>
                </c:pt>
                <c:pt idx="4">
                  <c:v>321.74590250982334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945-40D9-858E-8E68DAD85D67}"/>
            </c:ext>
          </c:extLst>
        </c:ser>
        <c:ser>
          <c:idx val="8"/>
          <c:order val="8"/>
          <c:tx>
            <c:strRef>
              <c:f>Resultados!$L$103</c:f>
              <c:strCache>
                <c:ptCount val="1"/>
                <c:pt idx="0">
                  <c:v>Perú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Resultados!$N$105:$N$109</c:f>
              <c:numCache>
                <c:formatCode>0.00</c:formatCode>
                <c:ptCount val="5"/>
                <c:pt idx="0">
                  <c:v>563.78</c:v>
                </c:pt>
                <c:pt idx="1">
                  <c:v>845.31</c:v>
                </c:pt>
                <c:pt idx="2">
                  <c:v>491.5</c:v>
                </c:pt>
                <c:pt idx="3">
                  <c:v>1014.47</c:v>
                </c:pt>
                <c:pt idx="4">
                  <c:v>768.78</c:v>
                </c:pt>
              </c:numCache>
            </c:numRef>
          </c:xVal>
          <c:yVal>
            <c:numRef>
              <c:f>Resultados!$O$105:$O$109</c:f>
              <c:numCache>
                <c:formatCode>0.00</c:formatCode>
                <c:ptCount val="5"/>
                <c:pt idx="0">
                  <c:v>649.54414842669132</c:v>
                </c:pt>
                <c:pt idx="1">
                  <c:v>558.17786768562223</c:v>
                </c:pt>
                <c:pt idx="2">
                  <c:v>401.62767039674463</c:v>
                </c:pt>
                <c:pt idx="3">
                  <c:v>272.44345745632131</c:v>
                </c:pt>
                <c:pt idx="4">
                  <c:v>266.85571077985037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945-40D9-858E-8E68DAD85D67}"/>
            </c:ext>
          </c:extLst>
        </c:ser>
        <c:ser>
          <c:idx val="9"/>
          <c:order val="9"/>
          <c:tx>
            <c:strRef>
              <c:f>Resultados!$P$78</c:f>
              <c:strCache>
                <c:ptCount val="1"/>
                <c:pt idx="0">
                  <c:v>Francia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Resultados!$R$80:$R$84</c:f>
              <c:numCache>
                <c:formatCode>0.00</c:formatCode>
                <c:ptCount val="5"/>
                <c:pt idx="0">
                  <c:v>344.47</c:v>
                </c:pt>
                <c:pt idx="1">
                  <c:v>406.77</c:v>
                </c:pt>
                <c:pt idx="2">
                  <c:v>572.29</c:v>
                </c:pt>
                <c:pt idx="3">
                  <c:v>673.29</c:v>
                </c:pt>
                <c:pt idx="4">
                  <c:v>906.71</c:v>
                </c:pt>
              </c:numCache>
            </c:numRef>
          </c:xVal>
          <c:yVal>
            <c:numRef>
              <c:f>Resultados!$S$80:$S$84</c:f>
              <c:numCache>
                <c:formatCode>0.00</c:formatCode>
                <c:ptCount val="5"/>
                <c:pt idx="0">
                  <c:v>2329.2304119371788</c:v>
                </c:pt>
                <c:pt idx="1">
                  <c:v>1840.2291221083169</c:v>
                </c:pt>
                <c:pt idx="2">
                  <c:v>1605.9165807545128</c:v>
                </c:pt>
                <c:pt idx="3">
                  <c:v>1127.7458450296306</c:v>
                </c:pt>
                <c:pt idx="4">
                  <c:v>645.41032965336217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945-40D9-858E-8E68DAD85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7120"/>
        <c:axId val="74518912"/>
      </c:scatterChart>
      <c:valAx>
        <c:axId val="7451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518912"/>
        <c:crosses val="autoZero"/>
        <c:crossBetween val="midCat"/>
      </c:valAx>
      <c:valAx>
        <c:axId val="7451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517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Gráfico de dispersión IHH - Precio boleto</a:t>
            </a:r>
            <a:r>
              <a:rPr lang="es-CO" b="1" baseline="0"/>
              <a:t> / km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Resultados!$N$7:$N$16</c:f>
              <c:numCache>
                <c:formatCode>0</c:formatCode>
                <c:ptCount val="10"/>
                <c:pt idx="0">
                  <c:v>3283.4833696808732</c:v>
                </c:pt>
                <c:pt idx="1">
                  <c:v>4057.0215560218294</c:v>
                </c:pt>
                <c:pt idx="2">
                  <c:v>4782.8763311879084</c:v>
                </c:pt>
                <c:pt idx="3">
                  <c:v>4991.3880445795339</c:v>
                </c:pt>
                <c:pt idx="4">
                  <c:v>4992.0014124332665</c:v>
                </c:pt>
                <c:pt idx="5">
                  <c:v>5637.4075527074092</c:v>
                </c:pt>
                <c:pt idx="6">
                  <c:v>5640.9563971000644</c:v>
                </c:pt>
                <c:pt idx="7">
                  <c:v>5706.0853847120979</c:v>
                </c:pt>
                <c:pt idx="8">
                  <c:v>6372.2502452010658</c:v>
                </c:pt>
                <c:pt idx="9">
                  <c:v>9558.823529411764</c:v>
                </c:pt>
              </c:numCache>
            </c:numRef>
          </c:xVal>
          <c:yVal>
            <c:numRef>
              <c:f>Resultados!$O$7:$O$16</c:f>
              <c:numCache>
                <c:formatCode>0</c:formatCode>
                <c:ptCount val="10"/>
                <c:pt idx="0">
                  <c:v>566.65301466096798</c:v>
                </c:pt>
                <c:pt idx="1">
                  <c:v>395.43100335061104</c:v>
                </c:pt>
                <c:pt idx="2">
                  <c:v>1117.9780735389522</c:v>
                </c:pt>
                <c:pt idx="3">
                  <c:v>592.33136849737775</c:v>
                </c:pt>
                <c:pt idx="4">
                  <c:v>910.56463672810526</c:v>
                </c:pt>
                <c:pt idx="5">
                  <c:v>625.37291796491354</c:v>
                </c:pt>
                <c:pt idx="6">
                  <c:v>598.08322284970973</c:v>
                </c:pt>
                <c:pt idx="7">
                  <c:v>708.96217877309812</c:v>
                </c:pt>
                <c:pt idx="8">
                  <c:v>378.25293860412023</c:v>
                </c:pt>
                <c:pt idx="9">
                  <c:v>1475.6609902441735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FA-4D57-87D8-F9C699708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428688"/>
        <c:axId val="466035304"/>
      </c:scatterChart>
      <c:valAx>
        <c:axId val="54442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IHH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6035304"/>
        <c:crosses val="autoZero"/>
        <c:crossBetween val="midCat"/>
      </c:valAx>
      <c:valAx>
        <c:axId val="46603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Precio boleto /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4428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22</xdr:row>
      <xdr:rowOff>128587</xdr:rowOff>
    </xdr:from>
    <xdr:to>
      <xdr:col>14</xdr:col>
      <xdr:colOff>409575</xdr:colOff>
      <xdr:row>37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8861F1-7932-4C63-BE5F-2051E0D19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1085850</xdr:colOff>
      <xdr:row>22</xdr:row>
      <xdr:rowOff>171450</xdr:rowOff>
    </xdr:from>
    <xdr:to>
      <xdr:col>20</xdr:col>
      <xdr:colOff>0</xdr:colOff>
      <xdr:row>37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208278-6896-4172-9E52-ADADC9D87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38100</xdr:rowOff>
    </xdr:from>
    <xdr:to>
      <xdr:col>10</xdr:col>
      <xdr:colOff>9525</xdr:colOff>
      <xdr:row>15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18</xdr:row>
      <xdr:rowOff>104775</xdr:rowOff>
    </xdr:from>
    <xdr:to>
      <xdr:col>10</xdr:col>
      <xdr:colOff>495300</xdr:colOff>
      <xdr:row>32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619125</xdr:colOff>
      <xdr:row>70</xdr:row>
      <xdr:rowOff>123824</xdr:rowOff>
    </xdr:from>
    <xdr:to>
      <xdr:col>14</xdr:col>
      <xdr:colOff>371475</xdr:colOff>
      <xdr:row>88</xdr:row>
      <xdr:rowOff>133349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457200</xdr:colOff>
      <xdr:row>34</xdr:row>
      <xdr:rowOff>114300</xdr:rowOff>
    </xdr:from>
    <xdr:to>
      <xdr:col>10</xdr:col>
      <xdr:colOff>457200</xdr:colOff>
      <xdr:row>48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542925</xdr:colOff>
      <xdr:row>49</xdr:row>
      <xdr:rowOff>142875</xdr:rowOff>
    </xdr:from>
    <xdr:to>
      <xdr:col>10</xdr:col>
      <xdr:colOff>542925</xdr:colOff>
      <xdr:row>62</xdr:row>
      <xdr:rowOff>28575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91</xdr:row>
      <xdr:rowOff>0</xdr:rowOff>
    </xdr:from>
    <xdr:to>
      <xdr:col>25</xdr:col>
      <xdr:colOff>66675</xdr:colOff>
      <xdr:row>109</xdr:row>
      <xdr:rowOff>9525</xdr:rowOff>
    </xdr:to>
    <xdr:graphicFrame macro="">
      <xdr:nvGraphicFramePr>
        <xdr:cNvPr id="7" name="3 Gráfico">
          <a:extLst>
            <a:ext uri="{FF2B5EF4-FFF2-40B4-BE49-F238E27FC236}">
              <a16:creationId xmlns:a16="http://schemas.microsoft.com/office/drawing/2014/main" id="{685FDE78-46B1-4CBC-9F6C-316054F9C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180975</xdr:colOff>
      <xdr:row>3</xdr:row>
      <xdr:rowOff>4762</xdr:rowOff>
    </xdr:from>
    <xdr:to>
      <xdr:col>21</xdr:col>
      <xdr:colOff>180975</xdr:colOff>
      <xdr:row>17</xdr:row>
      <xdr:rowOff>80962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A6B6D36-2198-4B5D-A307-E2DDBD37D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24"/>
  <sheetViews>
    <sheetView tabSelected="1" topLeftCell="I1" workbookViewId="0">
      <selection activeCell="A136" sqref="A136"/>
    </sheetView>
  </sheetViews>
  <sheetFormatPr baseColWidth="10" defaultRowHeight="15"/>
  <cols>
    <col min="1" max="1" width="19.42578125" style="42" bestFit="1" customWidth="1"/>
    <col min="2" max="6" width="11.42578125" style="42"/>
    <col min="7" max="7" width="16.140625" style="42" bestFit="1" customWidth="1"/>
    <col min="8" max="11" width="11.42578125" style="42"/>
    <col min="12" max="12" width="20.140625" style="42" customWidth="1"/>
    <col min="13" max="14" width="11.42578125" style="42"/>
    <col min="15" max="15" width="18.7109375" style="42" bestFit="1" customWidth="1"/>
    <col min="16" max="16" width="20.42578125" style="42" customWidth="1"/>
    <col min="17" max="16384" width="11.42578125" style="42"/>
  </cols>
  <sheetData>
    <row r="2" spans="1:18">
      <c r="B2" s="117" t="s">
        <v>168</v>
      </c>
      <c r="C2" s="118">
        <f>3185.26</f>
        <v>3185.26</v>
      </c>
    </row>
    <row r="4" spans="1:18">
      <c r="A4" s="42" t="s">
        <v>9</v>
      </c>
      <c r="B4" s="42" t="s">
        <v>0</v>
      </c>
    </row>
    <row r="5" spans="1:18">
      <c r="A5" s="42" t="s">
        <v>18</v>
      </c>
      <c r="B5" s="42">
        <v>232.9</v>
      </c>
    </row>
    <row r="6" spans="1:18">
      <c r="A6" s="42" t="s">
        <v>11</v>
      </c>
      <c r="B6" s="43">
        <v>43365</v>
      </c>
    </row>
    <row r="7" spans="1:18">
      <c r="A7" s="42" t="s">
        <v>12</v>
      </c>
      <c r="B7" s="43">
        <v>43369</v>
      </c>
    </row>
    <row r="9" spans="1:18">
      <c r="A9" s="44" t="s">
        <v>1</v>
      </c>
      <c r="B9" s="21" t="s">
        <v>2</v>
      </c>
      <c r="L9" s="121" t="s">
        <v>163</v>
      </c>
      <c r="M9" s="121"/>
      <c r="N9" s="121"/>
      <c r="P9" s="121" t="s">
        <v>169</v>
      </c>
      <c r="Q9" s="121"/>
      <c r="R9" s="121"/>
    </row>
    <row r="10" spans="1:18">
      <c r="A10" s="44" t="s">
        <v>3</v>
      </c>
      <c r="B10" s="45" t="s">
        <v>8</v>
      </c>
      <c r="C10" s="45" t="s">
        <v>7</v>
      </c>
      <c r="D10" s="45" t="s">
        <v>6</v>
      </c>
      <c r="E10" s="45" t="s">
        <v>10</v>
      </c>
      <c r="F10" s="45" t="s">
        <v>13</v>
      </c>
      <c r="G10" s="45" t="s">
        <v>15</v>
      </c>
      <c r="I10" s="9"/>
      <c r="J10" s="9"/>
    </row>
    <row r="11" spans="1:18">
      <c r="A11" s="44" t="s">
        <v>4</v>
      </c>
      <c r="B11" s="46">
        <v>71000</v>
      </c>
      <c r="C11" s="46">
        <v>28890</v>
      </c>
      <c r="D11" s="46">
        <v>2435</v>
      </c>
      <c r="E11" s="46">
        <f>B11+C11+D11</f>
        <v>102325</v>
      </c>
      <c r="F11" s="21" t="s">
        <v>14</v>
      </c>
      <c r="G11" s="124">
        <v>30</v>
      </c>
      <c r="I11" s="12"/>
      <c r="J11" s="12"/>
      <c r="K11" s="47"/>
      <c r="L11" s="141" t="s">
        <v>9</v>
      </c>
      <c r="M11" s="141" t="s">
        <v>61</v>
      </c>
      <c r="N11" s="149" t="s">
        <v>162</v>
      </c>
      <c r="P11" s="119" t="s">
        <v>9</v>
      </c>
      <c r="Q11" s="119" t="s">
        <v>61</v>
      </c>
      <c r="R11" s="120" t="s">
        <v>162</v>
      </c>
    </row>
    <row r="12" spans="1:18">
      <c r="A12" s="44" t="s">
        <v>5</v>
      </c>
      <c r="B12" s="46">
        <v>404000</v>
      </c>
      <c r="C12" s="46">
        <v>92160</v>
      </c>
      <c r="D12" s="46">
        <v>10373</v>
      </c>
      <c r="E12" s="46">
        <f>B12+C12+D12</f>
        <v>506533</v>
      </c>
      <c r="F12" s="21" t="s">
        <v>14</v>
      </c>
      <c r="G12" s="124"/>
      <c r="I12" s="12"/>
      <c r="J12" s="12"/>
      <c r="K12" s="47"/>
      <c r="L12" s="142"/>
      <c r="M12" s="142"/>
      <c r="N12" s="150"/>
      <c r="P12" s="119"/>
      <c r="Q12" s="119"/>
      <c r="R12" s="120"/>
    </row>
    <row r="13" spans="1:18">
      <c r="I13" s="13"/>
      <c r="J13" s="13"/>
      <c r="K13" s="2"/>
      <c r="L13" s="142"/>
      <c r="M13" s="142"/>
      <c r="N13" s="150"/>
      <c r="P13" s="119"/>
      <c r="Q13" s="119"/>
      <c r="R13" s="120"/>
    </row>
    <row r="14" spans="1:18">
      <c r="A14" s="44" t="s">
        <v>1</v>
      </c>
      <c r="B14" s="21" t="s">
        <v>16</v>
      </c>
      <c r="I14" s="47"/>
      <c r="J14" s="14"/>
      <c r="K14" s="2"/>
      <c r="L14" s="143" t="str">
        <f>B4</f>
        <v>Bogotá - Medellín</v>
      </c>
      <c r="M14" s="146">
        <f>(J16+'Colombia (2)'!J16)/2</f>
        <v>4216.4716553287981</v>
      </c>
      <c r="N14" s="145">
        <f>(B25+'Colombia (2)'!B25)/2</f>
        <v>1034.6346643766997</v>
      </c>
      <c r="P14" s="105" t="str">
        <f>L14</f>
        <v>Bogotá - Medellín</v>
      </c>
      <c r="Q14" s="109">
        <f>M14</f>
        <v>4216.4716553287981</v>
      </c>
      <c r="R14" s="58">
        <f>(B26+'Colombia (2)'!B26)/2</f>
        <v>298.82939745241163</v>
      </c>
    </row>
    <row r="15" spans="1:18">
      <c r="A15" s="44" t="s">
        <v>3</v>
      </c>
      <c r="B15" s="45" t="s">
        <v>8</v>
      </c>
      <c r="C15" s="45" t="s">
        <v>7</v>
      </c>
      <c r="D15" s="45" t="s">
        <v>6</v>
      </c>
      <c r="E15" s="45" t="s">
        <v>10</v>
      </c>
      <c r="F15" s="45" t="s">
        <v>13</v>
      </c>
      <c r="G15" s="45" t="s">
        <v>15</v>
      </c>
      <c r="I15" s="57" t="s">
        <v>63</v>
      </c>
      <c r="J15" s="12">
        <f>G11+G16+G21</f>
        <v>50</v>
      </c>
      <c r="K15" s="47"/>
      <c r="L15" s="143" t="str">
        <f>B29</f>
        <v>Bogotá - Cali</v>
      </c>
      <c r="M15" s="146">
        <f>(J41+'Colombia (2)'!J41)/2</f>
        <v>6516.7872299382725</v>
      </c>
      <c r="N15" s="145">
        <f>(B45+'Colombia (2)'!B45)/2</f>
        <v>763.48608550303572</v>
      </c>
      <c r="P15" s="105" t="str">
        <f t="shared" ref="P15:P19" si="0">L15</f>
        <v>Bogotá - Cali</v>
      </c>
      <c r="Q15" s="109">
        <f t="shared" ref="Q15:Q19" si="1">M15</f>
        <v>6516.7872299382725</v>
      </c>
      <c r="R15" s="58">
        <f>(B46+'Colombia (2)'!B46)/2</f>
        <v>554.09135564495091</v>
      </c>
    </row>
    <row r="16" spans="1:18">
      <c r="A16" s="44" t="s">
        <v>4</v>
      </c>
      <c r="B16" s="46">
        <v>29680</v>
      </c>
      <c r="C16" s="46">
        <v>35319</v>
      </c>
      <c r="D16" s="46">
        <v>30000</v>
      </c>
      <c r="E16" s="46">
        <f>B16+C16+D16</f>
        <v>94999</v>
      </c>
      <c r="F16" s="21" t="s">
        <v>14</v>
      </c>
      <c r="G16" s="124">
        <v>9</v>
      </c>
      <c r="I16" s="54" t="s">
        <v>61</v>
      </c>
      <c r="J16" s="12">
        <f>(G11*100/(G11+G16+G21))^2+(G16*100/(G11+G16+G21))^2+(G21*100/(G11+G16+G21))^2</f>
        <v>4408</v>
      </c>
      <c r="K16" s="47"/>
      <c r="L16" s="143" t="str">
        <f>B49</f>
        <v>Bogotá - Cúcuta</v>
      </c>
      <c r="M16" s="146">
        <f>(J61+'Colombia (2)'!J61)/2</f>
        <v>7386.6213151927423</v>
      </c>
      <c r="N16" s="145">
        <f>(B65+'Colombia (2)'!B65)/2</f>
        <v>508.64569189356587</v>
      </c>
      <c r="P16" s="105" t="str">
        <f t="shared" si="0"/>
        <v>Bogotá - Cúcuta</v>
      </c>
      <c r="Q16" s="109">
        <f t="shared" si="1"/>
        <v>7386.6213151927423</v>
      </c>
      <c r="R16" s="58">
        <f>(B66+'Colombia (2)'!B66)/2</f>
        <v>462.97553538674094</v>
      </c>
    </row>
    <row r="17" spans="1:18">
      <c r="A17" s="44" t="s">
        <v>5</v>
      </c>
      <c r="B17" s="46">
        <v>71294</v>
      </c>
      <c r="C17" s="46">
        <v>43226</v>
      </c>
      <c r="D17" s="46">
        <v>30000</v>
      </c>
      <c r="E17" s="46">
        <f>B17+C17+D17</f>
        <v>144520</v>
      </c>
      <c r="F17" s="21" t="s">
        <v>14</v>
      </c>
      <c r="G17" s="124"/>
      <c r="I17" s="47"/>
      <c r="J17" s="13"/>
      <c r="K17" s="47"/>
      <c r="L17" s="143" t="str">
        <f>B69</f>
        <v>Bogotá - Barranquilla</v>
      </c>
      <c r="M17" s="146">
        <f>(J81+'Colombia (2)'!J81)/2</f>
        <v>7402.0498866213147</v>
      </c>
      <c r="N17" s="145">
        <f>(B90+'Colombia (2)'!B85)/2</f>
        <v>216.16284598052795</v>
      </c>
      <c r="P17" s="105" t="str">
        <f t="shared" si="0"/>
        <v>Bogotá - Barranquilla</v>
      </c>
      <c r="Q17" s="109">
        <f t="shared" si="1"/>
        <v>7402.0498866213147</v>
      </c>
      <c r="R17" s="58">
        <f>(B91+'Colombia (2)'!B86)/2</f>
        <v>139.90160613514686</v>
      </c>
    </row>
    <row r="18" spans="1:18">
      <c r="I18" s="47"/>
      <c r="J18" s="13"/>
      <c r="K18" s="47"/>
      <c r="L18" s="143" t="str">
        <f>B94</f>
        <v>Bogotá - Cartagena</v>
      </c>
      <c r="M18" s="146">
        <f>(J106+'Colombia (2)'!J101)/2</f>
        <v>4555.2800734618922</v>
      </c>
      <c r="N18" s="145">
        <f>(B115+'Colombia (2)'!B110)/2</f>
        <v>244.27208094709542</v>
      </c>
      <c r="P18" s="105" t="str">
        <f t="shared" si="0"/>
        <v>Bogotá - Cartagena</v>
      </c>
      <c r="Q18" s="109">
        <f t="shared" si="1"/>
        <v>4555.2800734618922</v>
      </c>
      <c r="R18" s="58">
        <f>(B116+'Colombia (2)'!B111)/2</f>
        <v>119.15352794147361</v>
      </c>
    </row>
    <row r="19" spans="1:18">
      <c r="A19" s="44" t="s">
        <v>1</v>
      </c>
      <c r="B19" s="21" t="s">
        <v>105</v>
      </c>
      <c r="I19" s="47"/>
      <c r="J19" s="47"/>
      <c r="K19" s="47"/>
      <c r="L19" s="175" t="str">
        <f>B119</f>
        <v>Bogotá - Bucaramanga</v>
      </c>
      <c r="M19" s="147">
        <f>(J131+'Colombia (2)'!J126)/2</f>
        <v>5976.5625</v>
      </c>
      <c r="N19" s="109">
        <f>(B140+'Colombia (2)'!B139)/2</f>
        <v>689.20768225196161</v>
      </c>
      <c r="P19" s="105" t="str">
        <f t="shared" si="0"/>
        <v>Bogotá - Bucaramanga</v>
      </c>
      <c r="Q19" s="109">
        <f t="shared" si="1"/>
        <v>5976.5625</v>
      </c>
      <c r="R19" s="58">
        <f>(B141+'Colombia (2)'!B140)/2</f>
        <v>170.17089708529494</v>
      </c>
    </row>
    <row r="20" spans="1:18">
      <c r="A20" s="44" t="s">
        <v>3</v>
      </c>
      <c r="B20" s="45" t="s">
        <v>8</v>
      </c>
      <c r="C20" s="45" t="s">
        <v>7</v>
      </c>
      <c r="D20" s="45" t="s">
        <v>6</v>
      </c>
      <c r="E20" s="45" t="s">
        <v>10</v>
      </c>
      <c r="F20" s="45" t="s">
        <v>13</v>
      </c>
      <c r="G20" s="45" t="s">
        <v>15</v>
      </c>
      <c r="I20" s="14"/>
      <c r="J20" s="14"/>
      <c r="K20" s="47"/>
      <c r="L20" s="140" t="s">
        <v>167</v>
      </c>
      <c r="M20" s="144">
        <f>CORREL(M14:M19,N14:N19)</f>
        <v>-0.38716313394284319</v>
      </c>
      <c r="N20" s="148"/>
      <c r="P20" s="116" t="s">
        <v>167</v>
      </c>
      <c r="Q20" s="122">
        <f>CORREL(Q14:Q19,R14:R19)</f>
        <v>0.31976926764230379</v>
      </c>
      <c r="R20" s="123"/>
    </row>
    <row r="21" spans="1:18">
      <c r="A21" s="44" t="s">
        <v>4</v>
      </c>
      <c r="B21" s="46">
        <v>53700</v>
      </c>
      <c r="C21" s="46">
        <v>25600</v>
      </c>
      <c r="D21" s="46">
        <v>5758</v>
      </c>
      <c r="E21" s="46">
        <f>B21+C21+D21</f>
        <v>85058</v>
      </c>
      <c r="F21" s="21" t="s">
        <v>14</v>
      </c>
      <c r="G21" s="124">
        <v>11</v>
      </c>
      <c r="I21" s="12"/>
      <c r="J21" s="12"/>
      <c r="K21" s="14"/>
      <c r="L21" s="47"/>
      <c r="M21" s="113"/>
      <c r="N21" s="113"/>
    </row>
    <row r="22" spans="1:18">
      <c r="A22" s="44" t="s">
        <v>5</v>
      </c>
      <c r="B22" s="46">
        <v>129400</v>
      </c>
      <c r="C22" s="46">
        <v>39990</v>
      </c>
      <c r="D22" s="46">
        <v>12140</v>
      </c>
      <c r="E22" s="46">
        <f>B22+C22+D22</f>
        <v>181530</v>
      </c>
      <c r="F22" s="21" t="s">
        <v>14</v>
      </c>
      <c r="G22" s="124"/>
      <c r="I22" s="12"/>
      <c r="J22" s="12"/>
      <c r="K22" s="12"/>
      <c r="L22" s="47"/>
      <c r="M22" s="113"/>
      <c r="N22" s="113"/>
    </row>
    <row r="23" spans="1:18">
      <c r="I23" s="13"/>
      <c r="J23" s="13"/>
      <c r="K23" s="47"/>
      <c r="L23" s="47"/>
      <c r="M23" s="113"/>
      <c r="N23" s="113"/>
      <c r="Q23" s="70">
        <f>LINEST(Q14:Q19,R14:R19)</f>
        <v>2.4106658391694911</v>
      </c>
    </row>
    <row r="24" spans="1:18">
      <c r="B24" s="48" t="s">
        <v>8</v>
      </c>
      <c r="C24" s="48" t="s">
        <v>7</v>
      </c>
      <c r="D24" s="48" t="s">
        <v>6</v>
      </c>
      <c r="E24" s="48" t="s">
        <v>10</v>
      </c>
      <c r="I24" s="47"/>
      <c r="J24" s="47"/>
      <c r="K24" s="47"/>
    </row>
    <row r="25" spans="1:18">
      <c r="A25" s="44" t="s">
        <v>19</v>
      </c>
      <c r="B25" s="46">
        <f>(((B11+B12)/2*$G$11+(B16+B17)/2*$G$16+(B21+B22)/2*$G$21))/($G$11+$G$16+$G$21)/$B$5</f>
        <v>737.34933447831691</v>
      </c>
      <c r="C25" s="46">
        <f>(((C11+C12)/2*$G$11+(C16+C17)/2*$G$16+(C21+C22)/2*$G$21)/($G$11+$G$16+$G$21))/$B$5</f>
        <v>217.25611850579645</v>
      </c>
      <c r="D25" s="46">
        <f>(((D11+D12)/2*$G$11+(D16+D17)/2*$G$16+(D21+D22)/2*$G$21)/($G$11+$G$16+$G$21))/$B$5</f>
        <v>48.137312151137827</v>
      </c>
      <c r="E25" s="46">
        <f>(((E11+E12)/2*$G$11+(E16+E17)/2*$G$16+(E21+E22)/2*$G$21)/($G$11+$G$16+$G$21))/$B$5</f>
        <v>1002.7427651352511</v>
      </c>
      <c r="H25" s="61"/>
      <c r="I25" s="61"/>
    </row>
    <row r="26" spans="1:18">
      <c r="A26" s="114" t="s">
        <v>166</v>
      </c>
      <c r="B26" s="115">
        <f>((B11*G11+B16*G16+B21*G21)/J15)/B5</f>
        <v>256.57535422928294</v>
      </c>
    </row>
    <row r="29" spans="1:18">
      <c r="A29" s="42" t="s">
        <v>9</v>
      </c>
      <c r="B29" s="42" t="s">
        <v>22</v>
      </c>
    </row>
    <row r="30" spans="1:18">
      <c r="A30" s="42" t="s">
        <v>18</v>
      </c>
      <c r="B30" s="42">
        <v>298.3</v>
      </c>
    </row>
    <row r="31" spans="1:18">
      <c r="A31" s="42" t="s">
        <v>11</v>
      </c>
      <c r="B31" s="43">
        <v>43365</v>
      </c>
    </row>
    <row r="32" spans="1:18">
      <c r="A32" s="42" t="s">
        <v>12</v>
      </c>
      <c r="B32" s="43">
        <v>43369</v>
      </c>
    </row>
    <row r="34" spans="1:15">
      <c r="A34" s="44" t="s">
        <v>1</v>
      </c>
      <c r="B34" s="21" t="s">
        <v>2</v>
      </c>
    </row>
    <row r="35" spans="1:15">
      <c r="A35" s="44" t="s">
        <v>3</v>
      </c>
      <c r="B35" s="45" t="s">
        <v>8</v>
      </c>
      <c r="C35" s="45" t="s">
        <v>7</v>
      </c>
      <c r="D35" s="45" t="s">
        <v>6</v>
      </c>
      <c r="E35" s="45" t="s">
        <v>10</v>
      </c>
      <c r="F35" s="45" t="s">
        <v>13</v>
      </c>
      <c r="G35" s="45" t="s">
        <v>15</v>
      </c>
      <c r="K35" s="9"/>
    </row>
    <row r="36" spans="1:15">
      <c r="A36" s="44" t="s">
        <v>4</v>
      </c>
      <c r="B36" s="46">
        <v>184200</v>
      </c>
      <c r="C36" s="46">
        <v>50400</v>
      </c>
      <c r="D36" s="46">
        <v>10151</v>
      </c>
      <c r="E36" s="46">
        <f>B36+C36+D36</f>
        <v>244751</v>
      </c>
      <c r="F36" s="21" t="s">
        <v>14</v>
      </c>
      <c r="G36" s="124">
        <v>23</v>
      </c>
      <c r="J36" s="9"/>
      <c r="K36" s="10"/>
    </row>
    <row r="37" spans="1:15">
      <c r="A37" s="44" t="s">
        <v>5</v>
      </c>
      <c r="B37" s="46">
        <v>349200</v>
      </c>
      <c r="C37" s="46">
        <v>81750</v>
      </c>
      <c r="D37" s="46">
        <v>18533</v>
      </c>
      <c r="E37" s="46">
        <f>B37+C37+D37</f>
        <v>449483</v>
      </c>
      <c r="F37" s="21" t="s">
        <v>14</v>
      </c>
      <c r="G37" s="124"/>
      <c r="J37" s="10"/>
      <c r="K37" s="14"/>
      <c r="L37" s="47"/>
    </row>
    <row r="38" spans="1:15">
      <c r="J38" s="12"/>
      <c r="K38" s="12"/>
      <c r="L38" s="47"/>
    </row>
    <row r="39" spans="1:15">
      <c r="A39" s="44" t="s">
        <v>1</v>
      </c>
      <c r="B39" s="111" t="s">
        <v>105</v>
      </c>
      <c r="J39" s="13"/>
      <c r="K39" s="12"/>
      <c r="L39" s="47"/>
    </row>
    <row r="40" spans="1:15">
      <c r="A40" s="44" t="s">
        <v>3</v>
      </c>
      <c r="B40" s="45" t="s">
        <v>8</v>
      </c>
      <c r="C40" s="45" t="s">
        <v>7</v>
      </c>
      <c r="D40" s="45" t="s">
        <v>6</v>
      </c>
      <c r="E40" s="45" t="s">
        <v>10</v>
      </c>
      <c r="F40" s="45" t="s">
        <v>13</v>
      </c>
      <c r="G40" s="45" t="s">
        <v>15</v>
      </c>
      <c r="I40" s="57" t="s">
        <v>63</v>
      </c>
      <c r="J40" s="12">
        <f>G36+G41+G46</f>
        <v>32</v>
      </c>
      <c r="K40" s="13"/>
      <c r="L40" s="47"/>
    </row>
    <row r="41" spans="1:15">
      <c r="A41" s="44" t="s">
        <v>4</v>
      </c>
      <c r="B41" s="46">
        <v>130700</v>
      </c>
      <c r="C41" s="46">
        <v>40230</v>
      </c>
      <c r="D41" s="46">
        <v>8376</v>
      </c>
      <c r="E41" s="46">
        <f>B41+C41+D41</f>
        <v>179306</v>
      </c>
      <c r="F41" s="21" t="s">
        <v>14</v>
      </c>
      <c r="G41" s="124">
        <v>9</v>
      </c>
      <c r="I41" s="54" t="s">
        <v>61</v>
      </c>
      <c r="J41" s="55">
        <f>(G36*100/(G36+G41+G46))^2+(G41*100/(G36+G41+G46))^2+(G46*100/(G36+G41+G46))^2</f>
        <v>5957.03125</v>
      </c>
      <c r="L41" s="166" t="s">
        <v>170</v>
      </c>
      <c r="M41" s="166"/>
      <c r="N41" s="166"/>
      <c r="O41" s="166"/>
    </row>
    <row r="42" spans="1:15">
      <c r="A42" s="44" t="s">
        <v>5</v>
      </c>
      <c r="B42" s="46">
        <v>189400</v>
      </c>
      <c r="C42" s="46">
        <v>51390</v>
      </c>
      <c r="D42" s="46">
        <v>11743</v>
      </c>
      <c r="E42" s="46">
        <f>B42+C42+D42</f>
        <v>252533</v>
      </c>
      <c r="F42" s="21" t="s">
        <v>14</v>
      </c>
      <c r="G42" s="124"/>
      <c r="J42" s="12"/>
      <c r="L42" s="112" t="s">
        <v>9</v>
      </c>
      <c r="M42" s="164" t="s">
        <v>171</v>
      </c>
      <c r="N42" s="164" t="s">
        <v>172</v>
      </c>
      <c r="O42" s="165" t="s">
        <v>173</v>
      </c>
    </row>
    <row r="43" spans="1:15">
      <c r="J43" s="13"/>
      <c r="L43" s="155" t="str">
        <f>L14</f>
        <v>Bogotá - Medellín</v>
      </c>
      <c r="M43" s="47" t="str">
        <f>B9</f>
        <v>Avianca</v>
      </c>
      <c r="N43" s="156">
        <f>G11</f>
        <v>30</v>
      </c>
      <c r="O43" s="157">
        <f>N43/$J$15</f>
        <v>0.6</v>
      </c>
    </row>
    <row r="44" spans="1:15">
      <c r="B44" s="48" t="s">
        <v>8</v>
      </c>
      <c r="C44" s="48" t="s">
        <v>7</v>
      </c>
      <c r="D44" s="48" t="s">
        <v>6</v>
      </c>
      <c r="E44" s="48" t="s">
        <v>10</v>
      </c>
      <c r="J44" s="47"/>
      <c r="L44" s="155"/>
      <c r="M44" s="47" t="str">
        <f>B14</f>
        <v>Viva Air</v>
      </c>
      <c r="N44" s="156">
        <f>G16</f>
        <v>9</v>
      </c>
      <c r="O44" s="157">
        <f t="shared" ref="O44:O45" si="2">N44/$J$15</f>
        <v>0.18</v>
      </c>
    </row>
    <row r="45" spans="1:15">
      <c r="A45" s="44" t="s">
        <v>19</v>
      </c>
      <c r="B45" s="46">
        <f>(((B36+B37)/2*$G$36+(B41+B42)/2*$G$41)/($G$36+$G$41))/$B$30</f>
        <v>793.51219409989938</v>
      </c>
      <c r="C45" s="46">
        <f t="shared" ref="C45:D45" si="3">(((C36+C37)/2*$G$36+(C41+C42)/2*$G$41)/($G$36+$G$41))/$B$30</f>
        <v>202.3984872611465</v>
      </c>
      <c r="D45" s="46">
        <f t="shared" si="3"/>
        <v>44.041390797854504</v>
      </c>
      <c r="E45" s="46">
        <f>B45+C45+D45</f>
        <v>1039.9520721589004</v>
      </c>
      <c r="J45" s="47"/>
      <c r="L45" s="158"/>
      <c r="M45" s="159" t="str">
        <f>B19</f>
        <v>Latam</v>
      </c>
      <c r="N45" s="160">
        <f>G21</f>
        <v>11</v>
      </c>
      <c r="O45" s="161">
        <f t="shared" si="2"/>
        <v>0.22</v>
      </c>
    </row>
    <row r="46" spans="1:15">
      <c r="A46" s="114" t="s">
        <v>166</v>
      </c>
      <c r="B46" s="115">
        <f>((B36*G36+B41*G41)/J40)/B30</f>
        <v>567.05707341602408</v>
      </c>
      <c r="L46" s="151" t="str">
        <f>L15</f>
        <v>Bogotá - Cali</v>
      </c>
      <c r="M46" s="152" t="str">
        <f>B34</f>
        <v>Avianca</v>
      </c>
      <c r="N46" s="153">
        <f>G36</f>
        <v>23</v>
      </c>
      <c r="O46" s="154">
        <f>N46/J40</f>
        <v>0.71875</v>
      </c>
    </row>
    <row r="47" spans="1:15">
      <c r="L47" s="158"/>
      <c r="M47" s="159" t="str">
        <f>B39</f>
        <v>Latam</v>
      </c>
      <c r="N47" s="160">
        <f>G41</f>
        <v>9</v>
      </c>
      <c r="O47" s="161">
        <f>N47/J40</f>
        <v>0.28125</v>
      </c>
    </row>
    <row r="48" spans="1:15">
      <c r="L48" s="151" t="str">
        <f>L16</f>
        <v>Bogotá - Cúcuta</v>
      </c>
      <c r="M48" s="152" t="str">
        <f>B54</f>
        <v>Avianca</v>
      </c>
      <c r="N48" s="153">
        <f>G56</f>
        <v>6</v>
      </c>
      <c r="O48" s="154">
        <f>N48/J60</f>
        <v>0.8571428571428571</v>
      </c>
    </row>
    <row r="49" spans="1:15">
      <c r="A49" s="42" t="s">
        <v>9</v>
      </c>
      <c r="B49" s="42" t="s">
        <v>23</v>
      </c>
      <c r="L49" s="158"/>
      <c r="M49" s="159" t="str">
        <f>B59</f>
        <v>Latam</v>
      </c>
      <c r="N49" s="160">
        <f>G61</f>
        <v>1</v>
      </c>
      <c r="O49" s="161">
        <f>N49/J60</f>
        <v>0.14285714285714285</v>
      </c>
    </row>
    <row r="50" spans="1:15">
      <c r="A50" s="42" t="s">
        <v>18</v>
      </c>
      <c r="B50" s="42">
        <v>399.8</v>
      </c>
      <c r="L50" s="151" t="str">
        <f>L17</f>
        <v>Bogotá - Barranquilla</v>
      </c>
      <c r="M50" s="152" t="str">
        <f>B74</f>
        <v>Latam</v>
      </c>
      <c r="N50" s="153">
        <f>G76</f>
        <v>4</v>
      </c>
      <c r="O50" s="154">
        <f>N50/(N50+N51)</f>
        <v>0.19047619047619047</v>
      </c>
    </row>
    <row r="51" spans="1:15">
      <c r="A51" s="42" t="s">
        <v>11</v>
      </c>
      <c r="B51" s="43">
        <v>43365</v>
      </c>
      <c r="L51" s="158"/>
      <c r="M51" s="159" t="str">
        <f>B79</f>
        <v>Avianca</v>
      </c>
      <c r="N51" s="160">
        <f>G81</f>
        <v>17</v>
      </c>
      <c r="O51" s="161">
        <f>N51/(N50+N51)</f>
        <v>0.80952380952380953</v>
      </c>
    </row>
    <row r="52" spans="1:15">
      <c r="A52" s="42" t="s">
        <v>12</v>
      </c>
      <c r="B52" s="43">
        <v>43369</v>
      </c>
      <c r="L52" s="151" t="str">
        <f>L18</f>
        <v>Bogotá - Cartagena</v>
      </c>
      <c r="M52" s="152" t="str">
        <f>B99</f>
        <v>Latam</v>
      </c>
      <c r="N52" s="153">
        <f>G101</f>
        <v>8</v>
      </c>
      <c r="O52" s="154">
        <f>N52/(N52+N53+N54)</f>
        <v>0.26666666666666666</v>
      </c>
    </row>
    <row r="53" spans="1:15">
      <c r="L53" s="155"/>
      <c r="M53" s="47" t="str">
        <f>B104</f>
        <v>Avianca</v>
      </c>
      <c r="N53" s="156">
        <f>G106</f>
        <v>19</v>
      </c>
      <c r="O53" s="157">
        <f>N53/(N52+N53+N54)</f>
        <v>0.6333333333333333</v>
      </c>
    </row>
    <row r="54" spans="1:15">
      <c r="A54" s="44" t="s">
        <v>1</v>
      </c>
      <c r="B54" s="21" t="s">
        <v>2</v>
      </c>
      <c r="K54" s="9"/>
      <c r="L54" s="158"/>
      <c r="M54" s="159" t="str">
        <f>B109</f>
        <v>Viva Air</v>
      </c>
      <c r="N54" s="160">
        <f>G111</f>
        <v>3</v>
      </c>
      <c r="O54" s="161">
        <f>N54/(N52+N53+N54)</f>
        <v>0.1</v>
      </c>
    </row>
    <row r="55" spans="1:15">
      <c r="A55" s="44" t="s">
        <v>3</v>
      </c>
      <c r="B55" s="45" t="s">
        <v>8</v>
      </c>
      <c r="C55" s="45" t="s">
        <v>7</v>
      </c>
      <c r="D55" s="45" t="s">
        <v>6</v>
      </c>
      <c r="E55" s="45" t="s">
        <v>10</v>
      </c>
      <c r="F55" s="45" t="s">
        <v>13</v>
      </c>
      <c r="G55" s="45" t="s">
        <v>15</v>
      </c>
      <c r="I55" s="14"/>
      <c r="J55" s="47"/>
      <c r="K55" s="9"/>
      <c r="L55" s="151" t="str">
        <f>L19</f>
        <v>Bogotá - Bucaramanga</v>
      </c>
      <c r="M55" s="152" t="str">
        <f>B124</f>
        <v>Viva Air</v>
      </c>
      <c r="N55" s="153">
        <f>G126</f>
        <v>1</v>
      </c>
      <c r="O55" s="154">
        <f>N55/(N55+N56+N57)</f>
        <v>6.25E-2</v>
      </c>
    </row>
    <row r="56" spans="1:15">
      <c r="A56" s="44" t="s">
        <v>4</v>
      </c>
      <c r="B56" s="46">
        <v>175600</v>
      </c>
      <c r="C56" s="46">
        <v>48760</v>
      </c>
      <c r="D56" s="46">
        <v>9714</v>
      </c>
      <c r="E56" s="46">
        <f>B56+C56+D56</f>
        <v>234074</v>
      </c>
      <c r="F56" s="21" t="s">
        <v>14</v>
      </c>
      <c r="G56" s="124">
        <v>6</v>
      </c>
      <c r="I56" s="12"/>
      <c r="J56" s="47"/>
      <c r="K56" s="10"/>
      <c r="L56" s="155"/>
      <c r="M56" s="47" t="str">
        <f>B129</f>
        <v>Latam</v>
      </c>
      <c r="N56" s="156">
        <f>G131</f>
        <v>3</v>
      </c>
      <c r="O56" s="157">
        <f>N56/(N55+N56+N57)</f>
        <v>0.1875</v>
      </c>
    </row>
    <row r="57" spans="1:15">
      <c r="A57" s="44" t="s">
        <v>5</v>
      </c>
      <c r="B57" s="46">
        <v>208600</v>
      </c>
      <c r="C57" s="46">
        <v>55030</v>
      </c>
      <c r="D57" s="46">
        <v>11390</v>
      </c>
      <c r="E57" s="46">
        <f>B57+C57+D57</f>
        <v>275020</v>
      </c>
      <c r="F57" s="21" t="s">
        <v>14</v>
      </c>
      <c r="G57" s="124"/>
      <c r="I57" s="12"/>
      <c r="J57" s="47"/>
      <c r="K57" s="12"/>
      <c r="L57" s="158"/>
      <c r="M57" s="159" t="str">
        <f>B134</f>
        <v>Avianca</v>
      </c>
      <c r="N57" s="160">
        <f>G136</f>
        <v>12</v>
      </c>
      <c r="O57" s="161">
        <f>N57/(N55+N56+N57)</f>
        <v>0.75</v>
      </c>
    </row>
    <row r="58" spans="1:15">
      <c r="I58" s="13"/>
      <c r="J58" s="47"/>
      <c r="K58" s="13"/>
      <c r="L58" s="141" t="s">
        <v>10</v>
      </c>
      <c r="M58" s="168" t="str">
        <f>M43</f>
        <v>Avianca</v>
      </c>
      <c r="N58" s="169">
        <f>N43+N46+N48+N51+N53+N57</f>
        <v>107</v>
      </c>
      <c r="O58" s="170">
        <f>N58/(N58+N59+N60)</f>
        <v>0.6858974358974359</v>
      </c>
    </row>
    <row r="59" spans="1:15">
      <c r="A59" s="44" t="s">
        <v>1</v>
      </c>
      <c r="B59" s="111" t="s">
        <v>105</v>
      </c>
      <c r="I59" s="47"/>
      <c r="J59" s="47"/>
      <c r="L59" s="142"/>
      <c r="M59" s="163" t="str">
        <f>M44</f>
        <v>Viva Air</v>
      </c>
      <c r="N59" s="162">
        <f>N44+N54+N55</f>
        <v>13</v>
      </c>
      <c r="O59" s="171">
        <f>N59/(N58+N59+N60)</f>
        <v>8.3333333333333329E-2</v>
      </c>
    </row>
    <row r="60" spans="1:15">
      <c r="A60" s="44" t="s">
        <v>3</v>
      </c>
      <c r="B60" s="45" t="s">
        <v>8</v>
      </c>
      <c r="C60" s="45" t="s">
        <v>7</v>
      </c>
      <c r="D60" s="45" t="s">
        <v>6</v>
      </c>
      <c r="E60" s="45" t="s">
        <v>10</v>
      </c>
      <c r="F60" s="45" t="s">
        <v>13</v>
      </c>
      <c r="G60" s="45" t="s">
        <v>15</v>
      </c>
      <c r="I60" s="57" t="s">
        <v>63</v>
      </c>
      <c r="J60" s="12">
        <f>G56+G61+G66</f>
        <v>7</v>
      </c>
      <c r="L60" s="167"/>
      <c r="M60" s="172" t="str">
        <f>M45</f>
        <v>Latam</v>
      </c>
      <c r="N60" s="173">
        <f>N45+N47+N49+N50+N52+N56</f>
        <v>36</v>
      </c>
      <c r="O60" s="174">
        <f>N60/(N58+N59+N60)</f>
        <v>0.23076923076923078</v>
      </c>
    </row>
    <row r="61" spans="1:15">
      <c r="A61" s="44" t="s">
        <v>4</v>
      </c>
      <c r="B61" s="46">
        <v>146400</v>
      </c>
      <c r="C61" s="46">
        <v>43220</v>
      </c>
      <c r="D61" s="46">
        <v>9277</v>
      </c>
      <c r="E61" s="46">
        <f>B61+C61+D61</f>
        <v>198897</v>
      </c>
      <c r="F61" s="21" t="s">
        <v>14</v>
      </c>
      <c r="G61" s="124">
        <v>1</v>
      </c>
      <c r="I61" s="54" t="s">
        <v>61</v>
      </c>
      <c r="J61" s="55">
        <f>(G56*100/(G56+G61+G66))^2+(G61*100/(G56+G61+G66))^2+(G66*100/(G56+G61+G66))^2</f>
        <v>7551.0204081632646</v>
      </c>
    </row>
    <row r="62" spans="1:15">
      <c r="A62" s="44" t="s">
        <v>5</v>
      </c>
      <c r="B62" s="46">
        <v>146400</v>
      </c>
      <c r="C62" s="46">
        <v>43220</v>
      </c>
      <c r="D62" s="46">
        <v>9277</v>
      </c>
      <c r="E62" s="46">
        <f>B62+C62+D62</f>
        <v>198897</v>
      </c>
      <c r="F62" s="21" t="s">
        <v>14</v>
      </c>
      <c r="G62" s="124"/>
      <c r="I62" s="12"/>
      <c r="J62" s="47"/>
    </row>
    <row r="63" spans="1:15">
      <c r="I63" s="12"/>
      <c r="J63" s="47"/>
    </row>
    <row r="64" spans="1:15">
      <c r="B64" s="48" t="s">
        <v>8</v>
      </c>
      <c r="C64" s="48" t="s">
        <v>7</v>
      </c>
      <c r="D64" s="48" t="s">
        <v>6</v>
      </c>
      <c r="E64" s="48" t="s">
        <v>10</v>
      </c>
      <c r="I64" s="13"/>
      <c r="J64" s="47"/>
    </row>
    <row r="65" spans="1:10">
      <c r="A65" s="44" t="s">
        <v>19</v>
      </c>
      <c r="B65" s="46">
        <f>(((B56+B57)/2*$G$56+(B61+B62)/2*$G$61)/($G$56+$G$61))/$B$50</f>
        <v>464.16065175444868</v>
      </c>
      <c r="C65" s="46">
        <f t="shared" ref="C65:D65" si="4">(((C56+C57)/2*$G$56+(C61+C62)/2*$G$61)/($G$56+$G$61))/$B$50</f>
        <v>126.7026370328021</v>
      </c>
      <c r="D65" s="46">
        <f t="shared" si="4"/>
        <v>25.937611662974344</v>
      </c>
      <c r="E65" s="46">
        <f>B65+C65+D65</f>
        <v>616.80090045022507</v>
      </c>
      <c r="I65" s="47"/>
      <c r="J65" s="47"/>
    </row>
    <row r="66" spans="1:10">
      <c r="A66" s="114" t="s">
        <v>166</v>
      </c>
      <c r="B66" s="115">
        <f>((B56*G56+B61*G61)/J60)/B50</f>
        <v>428.78582148216964</v>
      </c>
      <c r="I66" s="47"/>
      <c r="J66" s="47"/>
    </row>
    <row r="69" spans="1:10">
      <c r="A69" s="42" t="s">
        <v>9</v>
      </c>
      <c r="B69" s="42" t="s">
        <v>26</v>
      </c>
    </row>
    <row r="70" spans="1:10">
      <c r="A70" s="42" t="s">
        <v>18</v>
      </c>
      <c r="B70" s="42">
        <v>691.1</v>
      </c>
    </row>
    <row r="71" spans="1:10">
      <c r="A71" s="42" t="s">
        <v>11</v>
      </c>
      <c r="B71" s="43">
        <v>43365</v>
      </c>
    </row>
    <row r="72" spans="1:10">
      <c r="A72" s="42" t="s">
        <v>12</v>
      </c>
      <c r="B72" s="43">
        <v>43369</v>
      </c>
    </row>
    <row r="74" spans="1:10">
      <c r="A74" s="44" t="s">
        <v>1</v>
      </c>
      <c r="B74" s="111" t="s">
        <v>105</v>
      </c>
    </row>
    <row r="75" spans="1:10">
      <c r="A75" s="44" t="s">
        <v>3</v>
      </c>
      <c r="B75" s="45" t="s">
        <v>8</v>
      </c>
      <c r="C75" s="45" t="s">
        <v>7</v>
      </c>
      <c r="D75" s="45" t="s">
        <v>6</v>
      </c>
      <c r="E75" s="45" t="s">
        <v>10</v>
      </c>
      <c r="F75" s="45" t="s">
        <v>13</v>
      </c>
      <c r="G75" s="45" t="s">
        <v>15</v>
      </c>
      <c r="I75" s="9"/>
    </row>
    <row r="76" spans="1:10">
      <c r="A76" s="44" t="s">
        <v>4</v>
      </c>
      <c r="B76" s="46">
        <v>62600</v>
      </c>
      <c r="C76" s="46">
        <v>27290</v>
      </c>
      <c r="D76" s="46">
        <v>6508</v>
      </c>
      <c r="E76" s="46">
        <f>B76+C76+D76</f>
        <v>96398</v>
      </c>
      <c r="F76" s="21" t="s">
        <v>14</v>
      </c>
      <c r="G76" s="124">
        <v>4</v>
      </c>
      <c r="I76" s="10"/>
      <c r="J76" s="9"/>
    </row>
    <row r="77" spans="1:10">
      <c r="A77" s="44" t="s">
        <v>5</v>
      </c>
      <c r="B77" s="46">
        <v>129000</v>
      </c>
      <c r="C77" s="46">
        <v>39910</v>
      </c>
      <c r="D77" s="46">
        <v>12106</v>
      </c>
      <c r="E77" s="46">
        <f>B77+C77+D77</f>
        <v>181016</v>
      </c>
      <c r="F77" s="21" t="s">
        <v>14</v>
      </c>
      <c r="G77" s="124"/>
      <c r="I77" s="12"/>
      <c r="J77" s="12"/>
    </row>
    <row r="78" spans="1:10">
      <c r="I78" s="13"/>
      <c r="J78" s="12"/>
    </row>
    <row r="79" spans="1:10">
      <c r="A79" s="44" t="s">
        <v>1</v>
      </c>
      <c r="B79" s="111" t="s">
        <v>2</v>
      </c>
      <c r="I79" s="47"/>
      <c r="J79" s="13"/>
    </row>
    <row r="80" spans="1:10">
      <c r="A80" s="44" t="s">
        <v>3</v>
      </c>
      <c r="B80" s="45" t="s">
        <v>8</v>
      </c>
      <c r="C80" s="45" t="s">
        <v>7</v>
      </c>
      <c r="D80" s="45" t="s">
        <v>6</v>
      </c>
      <c r="E80" s="45" t="s">
        <v>10</v>
      </c>
      <c r="F80" s="45" t="s">
        <v>13</v>
      </c>
      <c r="G80" s="45" t="s">
        <v>15</v>
      </c>
      <c r="I80" s="57" t="s">
        <v>63</v>
      </c>
      <c r="J80" s="12">
        <f>G76+G81+G86</f>
        <v>21</v>
      </c>
    </row>
    <row r="81" spans="1:10">
      <c r="A81" s="44" t="s">
        <v>4</v>
      </c>
      <c r="B81" s="46">
        <v>79400</v>
      </c>
      <c r="C81" s="46">
        <v>30490</v>
      </c>
      <c r="D81" s="46">
        <v>2636</v>
      </c>
      <c r="E81" s="46">
        <f>B81+C81+D81</f>
        <v>112526</v>
      </c>
      <c r="F81" s="21" t="s">
        <v>14</v>
      </c>
      <c r="G81" s="124">
        <v>17</v>
      </c>
      <c r="I81" s="54" t="s">
        <v>61</v>
      </c>
      <c r="J81" s="55">
        <f>(G76*100/(G76+G81+G86))^2+(G81*100/(G76+G81+G86))^2+(G86*100/(G76+G81+G86))^2</f>
        <v>6916.0997732426304</v>
      </c>
    </row>
    <row r="82" spans="1:10">
      <c r="A82" s="44" t="s">
        <v>5</v>
      </c>
      <c r="B82" s="46">
        <v>237000</v>
      </c>
      <c r="C82" s="46">
        <v>60430</v>
      </c>
      <c r="D82" s="46">
        <v>6392</v>
      </c>
      <c r="E82" s="46">
        <f>B82+C82+D82</f>
        <v>303822</v>
      </c>
      <c r="F82" s="21" t="s">
        <v>14</v>
      </c>
      <c r="G82" s="124"/>
      <c r="I82" s="12"/>
      <c r="J82" s="47"/>
    </row>
    <row r="83" spans="1:10">
      <c r="I83" s="13"/>
      <c r="J83" s="47"/>
    </row>
    <row r="84" spans="1:10">
      <c r="A84" s="44" t="s">
        <v>1</v>
      </c>
      <c r="B84" s="21"/>
      <c r="I84" s="11"/>
    </row>
    <row r="85" spans="1:10">
      <c r="A85" s="44" t="s">
        <v>3</v>
      </c>
      <c r="B85" s="45" t="s">
        <v>8</v>
      </c>
      <c r="C85" s="45" t="s">
        <v>7</v>
      </c>
      <c r="D85" s="45" t="s">
        <v>6</v>
      </c>
      <c r="E85" s="45" t="s">
        <v>10</v>
      </c>
      <c r="F85" s="45" t="s">
        <v>13</v>
      </c>
      <c r="G85" s="45" t="s">
        <v>15</v>
      </c>
    </row>
    <row r="86" spans="1:10">
      <c r="A86" s="44" t="s">
        <v>4</v>
      </c>
      <c r="B86" s="46"/>
      <c r="C86" s="46"/>
      <c r="D86" s="46"/>
      <c r="E86" s="46">
        <f>B86+C86+D86</f>
        <v>0</v>
      </c>
      <c r="F86" s="21" t="s">
        <v>14</v>
      </c>
      <c r="G86" s="124"/>
    </row>
    <row r="87" spans="1:10">
      <c r="A87" s="44" t="s">
        <v>5</v>
      </c>
      <c r="B87" s="46"/>
      <c r="C87" s="46"/>
      <c r="D87" s="46"/>
      <c r="E87" s="46">
        <f>B87+C87+D87</f>
        <v>0</v>
      </c>
      <c r="F87" s="21" t="s">
        <v>14</v>
      </c>
      <c r="G87" s="124"/>
    </row>
    <row r="89" spans="1:10">
      <c r="B89" s="48" t="s">
        <v>8</v>
      </c>
      <c r="C89" s="48" t="s">
        <v>7</v>
      </c>
      <c r="D89" s="48" t="s">
        <v>6</v>
      </c>
      <c r="E89" s="48" t="s">
        <v>10</v>
      </c>
    </row>
    <row r="90" spans="1:10">
      <c r="A90" s="44" t="s">
        <v>19</v>
      </c>
      <c r="B90" s="46">
        <f>(((B76+B77)/2*$G$76+(B81+B82)/2*$G$81)/($G$76+$G$81))/$B$70</f>
        <v>211.71217727432457</v>
      </c>
      <c r="C90" s="46">
        <f t="shared" ref="C90:D90" si="5">(((C76+C77)/2*$G$76+(C81+C82)/2*$G$81)/($G$76+$G$81))/$B$70</f>
        <v>62.510421619088959</v>
      </c>
      <c r="D90" s="46">
        <f t="shared" si="5"/>
        <v>7.8526296931737525</v>
      </c>
      <c r="E90" s="46">
        <f>B90+C90+D90</f>
        <v>282.07522858658729</v>
      </c>
    </row>
    <row r="91" spans="1:10">
      <c r="A91" s="114" t="s">
        <v>166</v>
      </c>
      <c r="B91" s="115">
        <f>((B76*G76+B81*G81+B86*G86)/J80)/B70</f>
        <v>110.25900737953987</v>
      </c>
    </row>
    <row r="94" spans="1:10">
      <c r="A94" s="42" t="s">
        <v>9</v>
      </c>
      <c r="B94" s="42" t="s">
        <v>28</v>
      </c>
    </row>
    <row r="95" spans="1:10">
      <c r="A95" s="42" t="s">
        <v>18</v>
      </c>
      <c r="B95" s="42">
        <v>656.86</v>
      </c>
    </row>
    <row r="96" spans="1:10">
      <c r="A96" s="42" t="s">
        <v>11</v>
      </c>
      <c r="B96" s="43">
        <v>43365</v>
      </c>
    </row>
    <row r="97" spans="1:11">
      <c r="A97" s="42" t="s">
        <v>12</v>
      </c>
      <c r="B97" s="43">
        <v>43369</v>
      </c>
    </row>
    <row r="99" spans="1:11">
      <c r="A99" s="44" t="s">
        <v>1</v>
      </c>
      <c r="B99" s="111" t="s">
        <v>105</v>
      </c>
    </row>
    <row r="100" spans="1:11">
      <c r="A100" s="44" t="s">
        <v>3</v>
      </c>
      <c r="B100" s="45" t="s">
        <v>8</v>
      </c>
      <c r="C100" s="45" t="s">
        <v>7</v>
      </c>
      <c r="D100" s="45" t="s">
        <v>6</v>
      </c>
      <c r="E100" s="45" t="s">
        <v>10</v>
      </c>
      <c r="F100" s="45" t="s">
        <v>13</v>
      </c>
      <c r="G100" s="45" t="s">
        <v>15</v>
      </c>
    </row>
    <row r="101" spans="1:11">
      <c r="A101" s="44" t="s">
        <v>4</v>
      </c>
      <c r="B101" s="46">
        <v>45800</v>
      </c>
      <c r="C101" s="46">
        <v>24100</v>
      </c>
      <c r="D101" s="46">
        <v>5911</v>
      </c>
      <c r="E101" s="46">
        <f>B101+C101+D101</f>
        <v>75811</v>
      </c>
      <c r="F101" s="21" t="s">
        <v>14</v>
      </c>
      <c r="G101" s="124">
        <v>8</v>
      </c>
      <c r="J101" s="9"/>
    </row>
    <row r="102" spans="1:11">
      <c r="A102" s="44" t="s">
        <v>5</v>
      </c>
      <c r="B102" s="46">
        <v>185000</v>
      </c>
      <c r="C102" s="46">
        <v>50550</v>
      </c>
      <c r="D102" s="46">
        <v>19582</v>
      </c>
      <c r="E102" s="46">
        <f>B102+C102+D102</f>
        <v>255132</v>
      </c>
      <c r="F102" s="21" t="s">
        <v>14</v>
      </c>
      <c r="G102" s="124"/>
      <c r="J102" s="10"/>
    </row>
    <row r="103" spans="1:11">
      <c r="J103" s="12"/>
      <c r="K103" s="47"/>
    </row>
    <row r="104" spans="1:11">
      <c r="A104" s="44" t="s">
        <v>1</v>
      </c>
      <c r="B104" s="111" t="s">
        <v>2</v>
      </c>
      <c r="J104" s="14"/>
      <c r="K104" s="47"/>
    </row>
    <row r="105" spans="1:11">
      <c r="A105" s="44" t="s">
        <v>3</v>
      </c>
      <c r="B105" s="45" t="s">
        <v>8</v>
      </c>
      <c r="C105" s="45" t="s">
        <v>7</v>
      </c>
      <c r="D105" s="45" t="s">
        <v>6</v>
      </c>
      <c r="E105" s="45" t="s">
        <v>10</v>
      </c>
      <c r="F105" s="45" t="s">
        <v>13</v>
      </c>
      <c r="G105" s="45" t="s">
        <v>15</v>
      </c>
      <c r="I105" s="57" t="s">
        <v>63</v>
      </c>
      <c r="J105" s="12">
        <f>G101+G106+G111</f>
        <v>30</v>
      </c>
      <c r="K105" s="47"/>
    </row>
    <row r="106" spans="1:11">
      <c r="A106" s="44" t="s">
        <v>4</v>
      </c>
      <c r="B106" s="46">
        <v>62600</v>
      </c>
      <c r="C106" s="46">
        <v>27290</v>
      </c>
      <c r="D106" s="46">
        <v>2235</v>
      </c>
      <c r="E106" s="46">
        <f>B106+C106+D106</f>
        <v>92125</v>
      </c>
      <c r="F106" s="21" t="s">
        <v>14</v>
      </c>
      <c r="G106" s="124">
        <v>19</v>
      </c>
      <c r="I106" s="54" t="s">
        <v>61</v>
      </c>
      <c r="J106" s="55">
        <f>(G101*100/(G101+G106+G111))^2+(G106*100/(G101+G106+G111))^2+(G111*100/(G101+G106+G111))^2</f>
        <v>4822.2222222222226</v>
      </c>
      <c r="K106" s="47"/>
    </row>
    <row r="107" spans="1:11">
      <c r="A107" s="44" t="s">
        <v>5</v>
      </c>
      <c r="B107" s="46">
        <v>373000</v>
      </c>
      <c r="C107" s="46">
        <v>86270</v>
      </c>
      <c r="D107" s="46">
        <v>9634</v>
      </c>
      <c r="E107" s="46">
        <f>B107+C107+D107</f>
        <v>468904</v>
      </c>
      <c r="F107" s="21" t="s">
        <v>14</v>
      </c>
      <c r="G107" s="124"/>
      <c r="J107" s="12"/>
      <c r="K107" s="47"/>
    </row>
    <row r="108" spans="1:11">
      <c r="J108" s="33"/>
      <c r="K108" s="47"/>
    </row>
    <row r="109" spans="1:11">
      <c r="A109" s="44" t="s">
        <v>1</v>
      </c>
      <c r="B109" s="111" t="s">
        <v>16</v>
      </c>
      <c r="J109" s="34"/>
      <c r="K109" s="47"/>
    </row>
    <row r="110" spans="1:11">
      <c r="A110" s="44" t="s">
        <v>3</v>
      </c>
      <c r="B110" s="45" t="s">
        <v>8</v>
      </c>
      <c r="C110" s="45" t="s">
        <v>7</v>
      </c>
      <c r="D110" s="45" t="s">
        <v>6</v>
      </c>
      <c r="E110" s="45" t="s">
        <v>10</v>
      </c>
      <c r="F110" s="45" t="s">
        <v>13</v>
      </c>
      <c r="G110" s="45" t="s">
        <v>15</v>
      </c>
      <c r="J110" s="14"/>
      <c r="K110" s="47"/>
    </row>
    <row r="111" spans="1:11">
      <c r="A111" s="44" t="s">
        <v>4</v>
      </c>
      <c r="B111" s="46">
        <v>33521</v>
      </c>
      <c r="C111" s="46">
        <v>36049</v>
      </c>
      <c r="D111" s="46">
        <v>30000</v>
      </c>
      <c r="E111" s="46">
        <f>B111+C111+D111</f>
        <v>99570</v>
      </c>
      <c r="F111" s="21" t="s">
        <v>14</v>
      </c>
      <c r="G111" s="124">
        <v>3</v>
      </c>
      <c r="J111" s="12"/>
      <c r="K111" s="47"/>
    </row>
    <row r="112" spans="1:11">
      <c r="A112" s="44" t="s">
        <v>5</v>
      </c>
      <c r="B112" s="46">
        <v>41445</v>
      </c>
      <c r="C112" s="46">
        <v>37555</v>
      </c>
      <c r="D112" s="46">
        <v>30000</v>
      </c>
      <c r="E112" s="46">
        <f>B112+C112+D112</f>
        <v>109000</v>
      </c>
      <c r="F112" s="21" t="s">
        <v>14</v>
      </c>
      <c r="G112" s="124"/>
      <c r="J112" s="12"/>
      <c r="K112" s="47"/>
    </row>
    <row r="113" spans="1:11">
      <c r="J113" s="13"/>
      <c r="K113" s="47"/>
    </row>
    <row r="114" spans="1:11">
      <c r="B114" s="48" t="s">
        <v>8</v>
      </c>
      <c r="C114" s="48" t="s">
        <v>7</v>
      </c>
      <c r="D114" s="48" t="s">
        <v>6</v>
      </c>
      <c r="E114" s="48" t="s">
        <v>10</v>
      </c>
      <c r="J114" s="47"/>
      <c r="K114" s="47"/>
    </row>
    <row r="115" spans="1:11">
      <c r="A115" s="44" t="s">
        <v>19</v>
      </c>
      <c r="B115" s="46">
        <f>(((B101+B102)/2*$G$101+(B106+B107)/2*$G$106+(B111+B112)/2*$G$111)/($G$101+$G$106+$G$111))/$B$95</f>
        <v>262.55462858650753</v>
      </c>
      <c r="C115" s="46">
        <f t="shared" ref="C115:D115" si="6">(((C101+C102)/2*$G$101+(C106+C107)/2*$G$106+(C111+C112)/2*$G$111)/($G$101+$G$106+$G$111))/$B$95</f>
        <v>75.501933440915863</v>
      </c>
      <c r="D115" s="46">
        <f t="shared" si="6"/>
        <v>15.463848207126837</v>
      </c>
      <c r="E115" s="46">
        <f>B115+C115+D115</f>
        <v>353.52041023455024</v>
      </c>
    </row>
    <row r="116" spans="1:11">
      <c r="A116" s="114" t="s">
        <v>166</v>
      </c>
      <c r="B116" s="115">
        <f>((B101*G101+B106*G106+B111*G111)/J105)/B95</f>
        <v>84.054593063971012</v>
      </c>
    </row>
    <row r="119" spans="1:11">
      <c r="A119" s="42" t="s">
        <v>9</v>
      </c>
      <c r="B119" s="42" t="s">
        <v>30</v>
      </c>
    </row>
    <row r="120" spans="1:11">
      <c r="A120" s="42" t="s">
        <v>18</v>
      </c>
      <c r="B120" s="42">
        <v>288.88</v>
      </c>
    </row>
    <row r="121" spans="1:11">
      <c r="A121" s="42" t="s">
        <v>11</v>
      </c>
      <c r="B121" s="43">
        <v>43365</v>
      </c>
    </row>
    <row r="122" spans="1:11">
      <c r="A122" s="42" t="s">
        <v>12</v>
      </c>
      <c r="B122" s="43">
        <v>43369</v>
      </c>
    </row>
    <row r="124" spans="1:11">
      <c r="A124" s="44" t="s">
        <v>1</v>
      </c>
      <c r="B124" s="111" t="s">
        <v>16</v>
      </c>
    </row>
    <row r="125" spans="1:11">
      <c r="A125" s="44" t="s">
        <v>3</v>
      </c>
      <c r="B125" s="45" t="s">
        <v>8</v>
      </c>
      <c r="C125" s="45" t="s">
        <v>7</v>
      </c>
      <c r="D125" s="45" t="s">
        <v>6</v>
      </c>
      <c r="E125" s="45" t="s">
        <v>10</v>
      </c>
      <c r="F125" s="45" t="s">
        <v>13</v>
      </c>
      <c r="G125" s="45" t="s">
        <v>15</v>
      </c>
    </row>
    <row r="126" spans="1:11">
      <c r="A126" s="44" t="s">
        <v>4</v>
      </c>
      <c r="B126" s="46">
        <v>54487</v>
      </c>
      <c r="C126" s="46">
        <v>40033</v>
      </c>
      <c r="D126" s="46">
        <v>30000</v>
      </c>
      <c r="E126" s="46">
        <f>B126+C126+D126</f>
        <v>124520</v>
      </c>
      <c r="F126" s="21" t="s">
        <v>14</v>
      </c>
      <c r="G126" s="124">
        <v>1</v>
      </c>
      <c r="J126" s="9"/>
    </row>
    <row r="127" spans="1:11">
      <c r="A127" s="44" t="s">
        <v>5</v>
      </c>
      <c r="B127" s="46">
        <v>54487</v>
      </c>
      <c r="C127" s="46">
        <v>40033</v>
      </c>
      <c r="D127" s="46">
        <v>30000</v>
      </c>
      <c r="E127" s="46">
        <f>B127+C127+D127</f>
        <v>124520</v>
      </c>
      <c r="F127" s="21" t="s">
        <v>14</v>
      </c>
      <c r="G127" s="124"/>
      <c r="J127" s="10"/>
    </row>
    <row r="128" spans="1:11">
      <c r="J128" s="12"/>
      <c r="K128" s="47"/>
    </row>
    <row r="129" spans="1:11">
      <c r="A129" s="44" t="s">
        <v>1</v>
      </c>
      <c r="B129" s="111" t="s">
        <v>105</v>
      </c>
      <c r="J129" s="13"/>
      <c r="K129" s="47"/>
    </row>
    <row r="130" spans="1:11">
      <c r="A130" s="44" t="s">
        <v>3</v>
      </c>
      <c r="B130" s="45" t="s">
        <v>8</v>
      </c>
      <c r="C130" s="45" t="s">
        <v>7</v>
      </c>
      <c r="D130" s="45" t="s">
        <v>6</v>
      </c>
      <c r="E130" s="45" t="s">
        <v>10</v>
      </c>
      <c r="F130" s="45" t="s">
        <v>13</v>
      </c>
      <c r="G130" s="45" t="s">
        <v>15</v>
      </c>
      <c r="I130" s="57" t="s">
        <v>63</v>
      </c>
      <c r="J130" s="12">
        <f>G126+G131+G136</f>
        <v>16</v>
      </c>
      <c r="K130" s="47"/>
    </row>
    <row r="131" spans="1:11">
      <c r="A131" s="44" t="s">
        <v>4</v>
      </c>
      <c r="B131" s="46">
        <v>87800</v>
      </c>
      <c r="C131" s="46">
        <v>32080</v>
      </c>
      <c r="D131" s="46">
        <v>5254</v>
      </c>
      <c r="E131" s="46">
        <f>B131+C131+D131</f>
        <v>125134</v>
      </c>
      <c r="F131" s="21" t="s">
        <v>14</v>
      </c>
      <c r="G131" s="124">
        <v>3</v>
      </c>
      <c r="I131" s="54" t="s">
        <v>61</v>
      </c>
      <c r="J131" s="55">
        <f>(G126*100/(G126+G131+G136))^2+(G131*100/(G126+G131+G136))^2+(G136*100/(G126+G131+G136))^2</f>
        <v>6015.625</v>
      </c>
      <c r="K131" s="47"/>
    </row>
    <row r="132" spans="1:11">
      <c r="A132" s="44" t="s">
        <v>5</v>
      </c>
      <c r="B132" s="46">
        <v>167700</v>
      </c>
      <c r="C132" s="46">
        <v>47260</v>
      </c>
      <c r="D132" s="46">
        <v>9313</v>
      </c>
      <c r="E132" s="46">
        <f>B132+C132+D132</f>
        <v>224273</v>
      </c>
      <c r="F132" s="21" t="s">
        <v>14</v>
      </c>
      <c r="G132" s="124"/>
      <c r="J132" s="12"/>
      <c r="K132" s="47"/>
    </row>
    <row r="133" spans="1:11">
      <c r="J133" s="13"/>
      <c r="K133" s="47"/>
    </row>
    <row r="134" spans="1:11">
      <c r="A134" s="44" t="s">
        <v>1</v>
      </c>
      <c r="B134" s="111" t="s">
        <v>2</v>
      </c>
      <c r="J134" s="13"/>
      <c r="K134" s="47"/>
    </row>
    <row r="135" spans="1:11">
      <c r="A135" s="44" t="s">
        <v>3</v>
      </c>
      <c r="B135" s="45" t="s">
        <v>8</v>
      </c>
      <c r="C135" s="45" t="s">
        <v>7</v>
      </c>
      <c r="D135" s="45" t="s">
        <v>6</v>
      </c>
      <c r="E135" s="45" t="s">
        <v>10</v>
      </c>
      <c r="F135" s="45" t="s">
        <v>13</v>
      </c>
      <c r="G135" s="45" t="s">
        <v>15</v>
      </c>
      <c r="J135" s="14"/>
      <c r="K135" s="47"/>
    </row>
    <row r="136" spans="1:11">
      <c r="A136" s="44" t="s">
        <v>4</v>
      </c>
      <c r="B136" s="46">
        <v>104600</v>
      </c>
      <c r="C136" s="46">
        <v>35270</v>
      </c>
      <c r="D136" s="46">
        <v>6107</v>
      </c>
      <c r="E136" s="46">
        <f>B136+C136+D136</f>
        <v>145977</v>
      </c>
      <c r="F136" s="21" t="s">
        <v>14</v>
      </c>
      <c r="G136" s="124">
        <v>12</v>
      </c>
      <c r="J136" s="14"/>
      <c r="K136" s="47"/>
    </row>
    <row r="137" spans="1:11">
      <c r="A137" s="44" t="s">
        <v>5</v>
      </c>
      <c r="B137" s="46">
        <v>360300</v>
      </c>
      <c r="C137" s="46">
        <v>83860</v>
      </c>
      <c r="D137" s="46">
        <v>19097</v>
      </c>
      <c r="E137" s="46">
        <f>B137+C137+D137</f>
        <v>463257</v>
      </c>
      <c r="F137" s="21" t="s">
        <v>14</v>
      </c>
      <c r="G137" s="124"/>
      <c r="J137" s="12"/>
      <c r="K137" s="47"/>
    </row>
    <row r="138" spans="1:11">
      <c r="J138" s="12"/>
      <c r="K138" s="47"/>
    </row>
    <row r="139" spans="1:11">
      <c r="B139" s="48" t="s">
        <v>8</v>
      </c>
      <c r="C139" s="48" t="s">
        <v>7</v>
      </c>
      <c r="D139" s="48" t="s">
        <v>6</v>
      </c>
      <c r="E139" s="48" t="s">
        <v>10</v>
      </c>
      <c r="J139" s="13"/>
      <c r="K139" s="47"/>
    </row>
    <row r="140" spans="1:11">
      <c r="A140" s="44" t="s">
        <v>19</v>
      </c>
      <c r="B140" s="46">
        <f>(((B126+B127)/2*$G$126+(B131+B132)/2*$G$131+(B136+B137)/2*$G$136)/($G$126+$G$131+$G$136))/$B$120</f>
        <v>698.20016096649124</v>
      </c>
      <c r="C140" s="46">
        <f t="shared" ref="C140:D140" si="7">(((C126+C127)/2*$G$126+(C131+C132)/2*$G$131+(C136+C137)/2*$G$136)/($G$126+$G$131+$G$136))/$B$120</f>
        <v>189.05406224037662</v>
      </c>
      <c r="D140" s="46">
        <f t="shared" si="7"/>
        <v>43.935738888119637</v>
      </c>
      <c r="E140" s="46">
        <f>B140+C140+D140</f>
        <v>931.18996209498755</v>
      </c>
    </row>
    <row r="141" spans="1:11">
      <c r="A141" s="114" t="s">
        <v>166</v>
      </c>
      <c r="B141" s="115">
        <f>((B126*G126+B131*G131+B136*G136)/J130)/B120</f>
        <v>340.34179417058988</v>
      </c>
    </row>
    <row r="143" spans="1:11" ht="30">
      <c r="A143" s="45" t="s">
        <v>62</v>
      </c>
      <c r="B143" s="67" t="s">
        <v>78</v>
      </c>
      <c r="C143" s="67" t="s">
        <v>80</v>
      </c>
      <c r="D143" s="44" t="s">
        <v>81</v>
      </c>
      <c r="E143" s="67" t="s">
        <v>79</v>
      </c>
    </row>
    <row r="144" spans="1:11">
      <c r="A144" s="56">
        <f>(J16*(G11+G16+G21)+J41*(G36+G41)+J61*(G56+G61)+J81*(G76+G81)+J106*(G101+G106+G111)+J131*(G126+G131+G136))/(G11+G16+G21+G36+G41+G56+G61+G76+G81+G101+G106+G111+G126+G131+G136)</f>
        <v>5448.9545177045184</v>
      </c>
      <c r="B144" s="63">
        <f>(B25*$J$15+B45*$J$40+B65*$J$60+B90*$J$80+B115*$J$105+B140*$J$130)/($J$15+$J$40+$J$60+$J$80+$J$105+$J$130)</f>
        <v>570.53063239239532</v>
      </c>
      <c r="C144" s="63">
        <f t="shared" ref="C144:E144" si="8">(C25*$J$15+C45*$J$40+C65*$J$60+C90*$J$80+C115*$J$105+C140*$J$130)/($J$15+$J$40+$J$60+$J$80+$J$105+$J$130)</f>
        <v>159.16101173045192</v>
      </c>
      <c r="D144" s="63">
        <f t="shared" si="8"/>
        <v>34.163755684034776</v>
      </c>
      <c r="E144" s="63">
        <f t="shared" si="8"/>
        <v>763.85539980688213</v>
      </c>
    </row>
    <row r="146" spans="1:13">
      <c r="A146" s="44" t="s">
        <v>83</v>
      </c>
      <c r="B146" s="68">
        <f>C144/E144</f>
        <v>0.20836536832847027</v>
      </c>
    </row>
    <row r="151" spans="1:13">
      <c r="G151" s="70" t="s">
        <v>84</v>
      </c>
      <c r="H151" s="70"/>
      <c r="I151" s="70"/>
      <c r="J151" s="70"/>
      <c r="K151" s="70"/>
      <c r="L151" s="70"/>
      <c r="M151" s="70"/>
    </row>
    <row r="153" spans="1:13">
      <c r="A153" s="42" t="s">
        <v>9</v>
      </c>
      <c r="B153" s="42" t="s">
        <v>31</v>
      </c>
    </row>
    <row r="154" spans="1:13">
      <c r="A154" s="42" t="s">
        <v>18</v>
      </c>
      <c r="B154" s="42">
        <v>386</v>
      </c>
    </row>
    <row r="155" spans="1:13">
      <c r="A155" s="42" t="s">
        <v>11</v>
      </c>
      <c r="B155" s="43">
        <v>43365</v>
      </c>
    </row>
    <row r="156" spans="1:13">
      <c r="A156" s="42" t="s">
        <v>12</v>
      </c>
      <c r="B156" s="43">
        <v>43369</v>
      </c>
    </row>
    <row r="158" spans="1:13">
      <c r="A158" s="44" t="s">
        <v>1</v>
      </c>
      <c r="B158" s="21" t="s">
        <v>27</v>
      </c>
    </row>
    <row r="159" spans="1:13">
      <c r="A159" s="44" t="s">
        <v>3</v>
      </c>
      <c r="B159" s="45" t="s">
        <v>8</v>
      </c>
      <c r="C159" s="45" t="s">
        <v>7</v>
      </c>
      <c r="D159" s="45" t="s">
        <v>6</v>
      </c>
      <c r="E159" s="45" t="s">
        <v>10</v>
      </c>
      <c r="F159" s="45" t="s">
        <v>13</v>
      </c>
      <c r="G159" s="45" t="s">
        <v>15</v>
      </c>
    </row>
    <row r="160" spans="1:13">
      <c r="A160" s="44" t="s">
        <v>4</v>
      </c>
      <c r="B160" s="46">
        <v>112600</v>
      </c>
      <c r="C160" s="46">
        <v>37190</v>
      </c>
      <c r="D160" s="46">
        <v>0</v>
      </c>
      <c r="E160" s="46">
        <f>B160+C160+D160</f>
        <v>149790</v>
      </c>
      <c r="F160" s="21" t="s">
        <v>14</v>
      </c>
      <c r="G160" s="124">
        <v>1</v>
      </c>
      <c r="I160" s="9"/>
    </row>
    <row r="161" spans="1:10">
      <c r="A161" s="44" t="s">
        <v>5</v>
      </c>
      <c r="B161" s="46">
        <v>112600</v>
      </c>
      <c r="C161" s="46">
        <v>37190</v>
      </c>
      <c r="D161" s="46">
        <v>0</v>
      </c>
      <c r="E161" s="46">
        <f>B161+C161+D161</f>
        <v>149790</v>
      </c>
      <c r="F161" s="21" t="s">
        <v>14</v>
      </c>
      <c r="G161" s="124"/>
      <c r="I161" s="10"/>
    </row>
    <row r="162" spans="1:10" ht="15.75" thickBot="1">
      <c r="I162" s="22"/>
    </row>
    <row r="163" spans="1:10">
      <c r="A163" s="44" t="s">
        <v>1</v>
      </c>
      <c r="B163" s="21"/>
      <c r="I163" s="11"/>
    </row>
    <row r="164" spans="1:10">
      <c r="A164" s="44" t="s">
        <v>3</v>
      </c>
      <c r="B164" s="45" t="s">
        <v>8</v>
      </c>
      <c r="C164" s="45" t="s">
        <v>7</v>
      </c>
      <c r="D164" s="45" t="s">
        <v>6</v>
      </c>
      <c r="E164" s="45" t="s">
        <v>10</v>
      </c>
      <c r="F164" s="45" t="s">
        <v>13</v>
      </c>
      <c r="G164" s="45" t="s">
        <v>15</v>
      </c>
    </row>
    <row r="165" spans="1:10">
      <c r="A165" s="44" t="s">
        <v>4</v>
      </c>
      <c r="B165" s="46"/>
      <c r="C165" s="46"/>
      <c r="D165" s="46"/>
      <c r="E165" s="46">
        <f>B165+C165+D165</f>
        <v>0</v>
      </c>
      <c r="F165" s="21" t="s">
        <v>14</v>
      </c>
      <c r="G165" s="124"/>
      <c r="I165" s="54" t="s">
        <v>61</v>
      </c>
      <c r="J165" s="55">
        <f>(G160*100/(G160+G165+G170))^2+(G165*100/(G160+G165+G170))^2+(G170*100/(G160+G165+G170))^2</f>
        <v>10000</v>
      </c>
    </row>
    <row r="166" spans="1:10">
      <c r="A166" s="44" t="s">
        <v>5</v>
      </c>
      <c r="B166" s="46"/>
      <c r="C166" s="46"/>
      <c r="D166" s="46"/>
      <c r="E166" s="46">
        <f>B166+C166+D166</f>
        <v>0</v>
      </c>
      <c r="F166" s="21" t="s">
        <v>14</v>
      </c>
      <c r="G166" s="124"/>
    </row>
    <row r="168" spans="1:10">
      <c r="A168" s="44" t="s">
        <v>1</v>
      </c>
      <c r="B168" s="21"/>
    </row>
    <row r="169" spans="1:10">
      <c r="A169" s="44" t="s">
        <v>3</v>
      </c>
      <c r="B169" s="45" t="s">
        <v>8</v>
      </c>
      <c r="C169" s="45" t="s">
        <v>7</v>
      </c>
      <c r="D169" s="45" t="s">
        <v>6</v>
      </c>
      <c r="E169" s="45" t="s">
        <v>10</v>
      </c>
      <c r="F169" s="45" t="s">
        <v>13</v>
      </c>
      <c r="G169" s="45" t="s">
        <v>15</v>
      </c>
    </row>
    <row r="170" spans="1:10">
      <c r="A170" s="44" t="s">
        <v>4</v>
      </c>
      <c r="B170" s="46"/>
      <c r="C170" s="46"/>
      <c r="D170" s="46"/>
      <c r="E170" s="46">
        <f>B170+C170+D170</f>
        <v>0</v>
      </c>
      <c r="F170" s="21" t="s">
        <v>14</v>
      </c>
      <c r="G170" s="124"/>
    </row>
    <row r="171" spans="1:10">
      <c r="A171" s="44" t="s">
        <v>5</v>
      </c>
      <c r="B171" s="46"/>
      <c r="C171" s="46"/>
      <c r="D171" s="46"/>
      <c r="E171" s="46">
        <f>B171+C171+D171</f>
        <v>0</v>
      </c>
      <c r="F171" s="21" t="s">
        <v>14</v>
      </c>
      <c r="G171" s="124"/>
    </row>
    <row r="173" spans="1:10">
      <c r="B173" s="48" t="s">
        <v>8</v>
      </c>
      <c r="C173" s="48" t="s">
        <v>7</v>
      </c>
      <c r="D173" s="48" t="s">
        <v>6</v>
      </c>
      <c r="E173" s="48" t="s">
        <v>10</v>
      </c>
    </row>
    <row r="174" spans="1:10">
      <c r="A174" s="44" t="s">
        <v>19</v>
      </c>
      <c r="B174" s="46">
        <f>(((B160+B161)/2*$G$160+(B165+B166)/2*$G$165+(B170+B171)/2*$G$170)/($G$160+$G$165+$G$170))/$B$154</f>
        <v>291.70984455958552</v>
      </c>
      <c r="C174" s="46">
        <f t="shared" ref="C174:D174" si="9">(((C160+C161)/2*$G$160+(C165+C166)/2*$G$165+(C170+C171)/2*$G$170)/($G$160+$G$165+$G$170))/$B$154</f>
        <v>96.347150259067362</v>
      </c>
      <c r="D174" s="46">
        <f t="shared" si="9"/>
        <v>0</v>
      </c>
      <c r="E174" s="46">
        <f>B174+C174+D174</f>
        <v>388.05699481865287</v>
      </c>
    </row>
    <row r="178" spans="1:10">
      <c r="A178" s="42" t="s">
        <v>9</v>
      </c>
      <c r="B178" s="42" t="s">
        <v>32</v>
      </c>
    </row>
    <row r="179" spans="1:10">
      <c r="A179" s="42" t="s">
        <v>18</v>
      </c>
      <c r="B179" s="42">
        <v>524.48</v>
      </c>
    </row>
    <row r="180" spans="1:10">
      <c r="A180" s="42" t="s">
        <v>11</v>
      </c>
      <c r="B180" s="43">
        <v>43365</v>
      </c>
    </row>
    <row r="181" spans="1:10">
      <c r="A181" s="42" t="s">
        <v>12</v>
      </c>
      <c r="B181" s="43">
        <v>43369</v>
      </c>
    </row>
    <row r="183" spans="1:10">
      <c r="A183" s="44" t="s">
        <v>1</v>
      </c>
      <c r="B183" s="21" t="s">
        <v>27</v>
      </c>
    </row>
    <row r="184" spans="1:10">
      <c r="A184" s="44" t="s">
        <v>3</v>
      </c>
      <c r="B184" s="45" t="s">
        <v>8</v>
      </c>
      <c r="C184" s="45" t="s">
        <v>7</v>
      </c>
      <c r="D184" s="45" t="s">
        <v>6</v>
      </c>
      <c r="E184" s="45" t="s">
        <v>10</v>
      </c>
      <c r="F184" s="45" t="s">
        <v>13</v>
      </c>
      <c r="G184" s="45" t="s">
        <v>15</v>
      </c>
      <c r="J184" s="9"/>
    </row>
    <row r="185" spans="1:10">
      <c r="A185" s="44" t="s">
        <v>4</v>
      </c>
      <c r="B185" s="46">
        <v>258600</v>
      </c>
      <c r="C185" s="46">
        <v>64530</v>
      </c>
      <c r="D185" s="46">
        <v>13930</v>
      </c>
      <c r="E185" s="46">
        <f>B185+C185+D185</f>
        <v>337060</v>
      </c>
      <c r="F185" s="21" t="s">
        <v>14</v>
      </c>
      <c r="G185" s="124">
        <v>4</v>
      </c>
      <c r="J185" s="10"/>
    </row>
    <row r="186" spans="1:10">
      <c r="A186" s="44" t="s">
        <v>5</v>
      </c>
      <c r="B186" s="46">
        <v>368600</v>
      </c>
      <c r="C186" s="46">
        <v>85430</v>
      </c>
      <c r="D186" s="46">
        <v>19518</v>
      </c>
      <c r="E186" s="46">
        <f>B186+C186+D186</f>
        <v>473548</v>
      </c>
      <c r="F186" s="21" t="s">
        <v>14</v>
      </c>
      <c r="G186" s="124"/>
      <c r="J186" s="12"/>
    </row>
    <row r="187" spans="1:10">
      <c r="J187" s="14"/>
    </row>
    <row r="188" spans="1:10">
      <c r="A188" s="44" t="s">
        <v>1</v>
      </c>
      <c r="B188" s="21"/>
      <c r="J188" s="12"/>
    </row>
    <row r="189" spans="1:10">
      <c r="A189" s="44" t="s">
        <v>3</v>
      </c>
      <c r="B189" s="45" t="s">
        <v>8</v>
      </c>
      <c r="C189" s="45" t="s">
        <v>7</v>
      </c>
      <c r="D189" s="45" t="s">
        <v>6</v>
      </c>
      <c r="E189" s="45" t="s">
        <v>10</v>
      </c>
      <c r="F189" s="45" t="s">
        <v>13</v>
      </c>
      <c r="G189" s="45" t="s">
        <v>15</v>
      </c>
      <c r="J189" s="12"/>
    </row>
    <row r="190" spans="1:10">
      <c r="A190" s="44" t="s">
        <v>4</v>
      </c>
      <c r="B190" s="46"/>
      <c r="C190" s="46"/>
      <c r="D190" s="46"/>
      <c r="E190" s="46">
        <f>B190+C190+D190</f>
        <v>0</v>
      </c>
      <c r="F190" s="21" t="s">
        <v>14</v>
      </c>
      <c r="G190" s="124"/>
      <c r="I190" s="54" t="s">
        <v>61</v>
      </c>
      <c r="J190" s="55">
        <f>(G185*100/(G185+G190+G195))^2+(G190*100/(G185+G190+G195))^2+(G195*100/(G185+G190+G195))^2</f>
        <v>10000</v>
      </c>
    </row>
    <row r="191" spans="1:10">
      <c r="A191" s="44" t="s">
        <v>5</v>
      </c>
      <c r="B191" s="46"/>
      <c r="C191" s="46"/>
      <c r="D191" s="46"/>
      <c r="E191" s="46">
        <f>B191+C191+D191</f>
        <v>0</v>
      </c>
      <c r="F191" s="21" t="s">
        <v>14</v>
      </c>
      <c r="G191" s="124"/>
    </row>
    <row r="193" spans="1:7">
      <c r="A193" s="44" t="s">
        <v>1</v>
      </c>
      <c r="B193" s="21"/>
    </row>
    <row r="194" spans="1:7">
      <c r="A194" s="44" t="s">
        <v>3</v>
      </c>
      <c r="B194" s="45" t="s">
        <v>8</v>
      </c>
      <c r="C194" s="45" t="s">
        <v>7</v>
      </c>
      <c r="D194" s="45" t="s">
        <v>6</v>
      </c>
      <c r="E194" s="45" t="s">
        <v>10</v>
      </c>
      <c r="F194" s="45" t="s">
        <v>13</v>
      </c>
      <c r="G194" s="45" t="s">
        <v>15</v>
      </c>
    </row>
    <row r="195" spans="1:7">
      <c r="A195" s="44" t="s">
        <v>4</v>
      </c>
      <c r="B195" s="46"/>
      <c r="C195" s="46"/>
      <c r="D195" s="46"/>
      <c r="E195" s="46">
        <f>B195+C195+D195</f>
        <v>0</v>
      </c>
      <c r="F195" s="21" t="s">
        <v>14</v>
      </c>
      <c r="G195" s="124"/>
    </row>
    <row r="196" spans="1:7">
      <c r="A196" s="44" t="s">
        <v>5</v>
      </c>
      <c r="B196" s="46"/>
      <c r="C196" s="46"/>
      <c r="D196" s="46"/>
      <c r="E196" s="46">
        <f>B196+C196+D196</f>
        <v>0</v>
      </c>
      <c r="F196" s="21" t="s">
        <v>14</v>
      </c>
      <c r="G196" s="124"/>
    </row>
    <row r="198" spans="1:7">
      <c r="B198" s="48" t="s">
        <v>8</v>
      </c>
      <c r="C198" s="48" t="s">
        <v>7</v>
      </c>
      <c r="D198" s="48" t="s">
        <v>6</v>
      </c>
      <c r="E198" s="48" t="s">
        <v>10</v>
      </c>
    </row>
    <row r="199" spans="1:7">
      <c r="A199" s="44" t="s">
        <v>19</v>
      </c>
      <c r="B199" s="46">
        <f>(((B185+B186)/2*$G$185)/($G$185))/$B$179</f>
        <v>597.92556436851737</v>
      </c>
      <c r="C199" s="46">
        <f t="shared" ref="C199:D199" si="10">(((C185+C186)/2*$G$185)/($G$185))/$B$179</f>
        <v>142.96064673581452</v>
      </c>
      <c r="D199" s="46">
        <f t="shared" si="10"/>
        <v>31.886821232458814</v>
      </c>
      <c r="E199" s="46">
        <f>B199+C199+D199</f>
        <v>772.77303233679072</v>
      </c>
    </row>
    <row r="203" spans="1:7">
      <c r="A203" s="42" t="s">
        <v>9</v>
      </c>
      <c r="B203" s="42" t="s">
        <v>33</v>
      </c>
    </row>
    <row r="204" spans="1:7">
      <c r="A204" s="42" t="s">
        <v>18</v>
      </c>
      <c r="B204" s="42">
        <v>497.7</v>
      </c>
    </row>
    <row r="205" spans="1:7">
      <c r="A205" s="42" t="s">
        <v>11</v>
      </c>
      <c r="B205" s="43">
        <v>43365</v>
      </c>
    </row>
    <row r="206" spans="1:7">
      <c r="A206" s="42" t="s">
        <v>12</v>
      </c>
      <c r="B206" s="43">
        <v>43369</v>
      </c>
    </row>
    <row r="208" spans="1:7">
      <c r="A208" s="44" t="s">
        <v>1</v>
      </c>
      <c r="B208" s="21" t="s">
        <v>27</v>
      </c>
    </row>
    <row r="209" spans="1:10">
      <c r="A209" s="44" t="s">
        <v>3</v>
      </c>
      <c r="B209" s="45" t="s">
        <v>8</v>
      </c>
      <c r="C209" s="45" t="s">
        <v>7</v>
      </c>
      <c r="D209" s="45" t="s">
        <v>6</v>
      </c>
      <c r="E209" s="45" t="s">
        <v>10</v>
      </c>
      <c r="F209" s="45" t="s">
        <v>13</v>
      </c>
      <c r="G209" s="45" t="s">
        <v>15</v>
      </c>
    </row>
    <row r="210" spans="1:10">
      <c r="A210" s="44" t="s">
        <v>4</v>
      </c>
      <c r="B210" s="46">
        <v>104200</v>
      </c>
      <c r="C210" s="46">
        <v>35600</v>
      </c>
      <c r="D210" s="46"/>
      <c r="E210" s="46">
        <f>B210+C210+D210</f>
        <v>139800</v>
      </c>
      <c r="F210" s="21" t="s">
        <v>14</v>
      </c>
      <c r="G210" s="124">
        <v>3</v>
      </c>
    </row>
    <row r="211" spans="1:10">
      <c r="A211" s="44" t="s">
        <v>5</v>
      </c>
      <c r="B211" s="46">
        <v>128600</v>
      </c>
      <c r="C211" s="46">
        <v>40230</v>
      </c>
      <c r="D211" s="46"/>
      <c r="E211" s="46">
        <f>B211+C211+D211</f>
        <v>168830</v>
      </c>
      <c r="F211" s="21" t="s">
        <v>14</v>
      </c>
      <c r="G211" s="124"/>
    </row>
    <row r="213" spans="1:10">
      <c r="A213" s="44" t="s">
        <v>1</v>
      </c>
      <c r="B213" s="21"/>
    </row>
    <row r="214" spans="1:10">
      <c r="A214" s="44" t="s">
        <v>3</v>
      </c>
      <c r="B214" s="45" t="s">
        <v>8</v>
      </c>
      <c r="C214" s="45" t="s">
        <v>7</v>
      </c>
      <c r="D214" s="45" t="s">
        <v>6</v>
      </c>
      <c r="E214" s="45" t="s">
        <v>10</v>
      </c>
      <c r="F214" s="45" t="s">
        <v>13</v>
      </c>
      <c r="G214" s="45" t="s">
        <v>15</v>
      </c>
    </row>
    <row r="215" spans="1:10">
      <c r="A215" s="44" t="s">
        <v>4</v>
      </c>
      <c r="B215" s="46"/>
      <c r="C215" s="46"/>
      <c r="D215" s="46"/>
      <c r="E215" s="46">
        <f>B215+C215+D215</f>
        <v>0</v>
      </c>
      <c r="F215" s="21" t="s">
        <v>14</v>
      </c>
      <c r="G215" s="124"/>
      <c r="I215" s="54" t="s">
        <v>61</v>
      </c>
      <c r="J215" s="55">
        <f>(G210*100/(G210+G215+G220))^2+(G215*100/(G210+G215+G220))^2+(G220*100/(G210+G215+G220))^2</f>
        <v>10000</v>
      </c>
    </row>
    <row r="216" spans="1:10">
      <c r="A216" s="44" t="s">
        <v>5</v>
      </c>
      <c r="B216" s="46"/>
      <c r="C216" s="46"/>
      <c r="D216" s="46"/>
      <c r="E216" s="46">
        <f>B216+C216+D216</f>
        <v>0</v>
      </c>
      <c r="F216" s="21" t="s">
        <v>14</v>
      </c>
      <c r="G216" s="124"/>
    </row>
    <row r="218" spans="1:10">
      <c r="A218" s="44" t="s">
        <v>1</v>
      </c>
      <c r="B218" s="21"/>
    </row>
    <row r="219" spans="1:10">
      <c r="A219" s="44" t="s">
        <v>3</v>
      </c>
      <c r="B219" s="45" t="s">
        <v>8</v>
      </c>
      <c r="C219" s="45" t="s">
        <v>7</v>
      </c>
      <c r="D219" s="45" t="s">
        <v>6</v>
      </c>
      <c r="E219" s="45" t="s">
        <v>10</v>
      </c>
      <c r="F219" s="45" t="s">
        <v>13</v>
      </c>
      <c r="G219" s="45" t="s">
        <v>15</v>
      </c>
    </row>
    <row r="220" spans="1:10">
      <c r="A220" s="44" t="s">
        <v>4</v>
      </c>
      <c r="B220" s="46"/>
      <c r="C220" s="46"/>
      <c r="D220" s="46"/>
      <c r="E220" s="46">
        <f>B220+C220+D220</f>
        <v>0</v>
      </c>
      <c r="F220" s="21" t="s">
        <v>14</v>
      </c>
      <c r="G220" s="124"/>
    </row>
    <row r="221" spans="1:10">
      <c r="A221" s="44" t="s">
        <v>5</v>
      </c>
      <c r="B221" s="46"/>
      <c r="C221" s="46"/>
      <c r="D221" s="46"/>
      <c r="E221" s="46">
        <f>B221+C221+D221</f>
        <v>0</v>
      </c>
      <c r="F221" s="21" t="s">
        <v>14</v>
      </c>
      <c r="G221" s="124"/>
    </row>
    <row r="223" spans="1:10">
      <c r="B223" s="48" t="s">
        <v>8</v>
      </c>
      <c r="C223" s="48" t="s">
        <v>7</v>
      </c>
      <c r="D223" s="48" t="s">
        <v>6</v>
      </c>
      <c r="E223" s="48" t="s">
        <v>10</v>
      </c>
    </row>
    <row r="224" spans="1:10">
      <c r="A224" s="44" t="s">
        <v>19</v>
      </c>
      <c r="B224" s="46">
        <f>(((B210+B211)/2*$G$210)/($G$210))/$B$204</f>
        <v>233.87582881253769</v>
      </c>
      <c r="C224" s="46">
        <f t="shared" ref="C224:D224" si="11">(((C210+C211)/2*$G$210)/($G$210))/$B$204</f>
        <v>76.180429977898328</v>
      </c>
      <c r="D224" s="46">
        <f t="shared" si="11"/>
        <v>0</v>
      </c>
      <c r="E224" s="46">
        <f>B224+C224+D224</f>
        <v>310.056258790436</v>
      </c>
    </row>
  </sheetData>
  <mergeCells count="43">
    <mergeCell ref="L55:L57"/>
    <mergeCell ref="L58:L60"/>
    <mergeCell ref="L41:O41"/>
    <mergeCell ref="L43:L45"/>
    <mergeCell ref="L46:L47"/>
    <mergeCell ref="L48:L49"/>
    <mergeCell ref="L50:L51"/>
    <mergeCell ref="L52:L54"/>
    <mergeCell ref="P9:R9"/>
    <mergeCell ref="P11:P13"/>
    <mergeCell ref="Q11:Q13"/>
    <mergeCell ref="R11:R13"/>
    <mergeCell ref="Q20:R20"/>
    <mergeCell ref="G210:G211"/>
    <mergeCell ref="G215:G216"/>
    <mergeCell ref="G220:G221"/>
    <mergeCell ref="G165:G166"/>
    <mergeCell ref="G170:G171"/>
    <mergeCell ref="G185:G186"/>
    <mergeCell ref="G190:G191"/>
    <mergeCell ref="G195:G196"/>
    <mergeCell ref="G111:G112"/>
    <mergeCell ref="G126:G127"/>
    <mergeCell ref="G131:G132"/>
    <mergeCell ref="G136:G137"/>
    <mergeCell ref="G160:G161"/>
    <mergeCell ref="G76:G77"/>
    <mergeCell ref="G81:G82"/>
    <mergeCell ref="G86:G87"/>
    <mergeCell ref="G101:G102"/>
    <mergeCell ref="G106:G107"/>
    <mergeCell ref="G56:G57"/>
    <mergeCell ref="G61:G62"/>
    <mergeCell ref="G11:G12"/>
    <mergeCell ref="G16:G17"/>
    <mergeCell ref="G21:G22"/>
    <mergeCell ref="G36:G37"/>
    <mergeCell ref="G41:G42"/>
    <mergeCell ref="L11:L13"/>
    <mergeCell ref="M11:M13"/>
    <mergeCell ref="N11:N13"/>
    <mergeCell ref="L9:N9"/>
    <mergeCell ref="M20:N2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M146"/>
  <sheetViews>
    <sheetView topLeftCell="A125" workbookViewId="0">
      <selection activeCell="B140" sqref="B140"/>
    </sheetView>
  </sheetViews>
  <sheetFormatPr baseColWidth="10" defaultRowHeight="15"/>
  <cols>
    <col min="1" max="1" width="19.42578125" style="42" bestFit="1" customWidth="1"/>
    <col min="2" max="6" width="11.42578125" style="42"/>
    <col min="7" max="7" width="16.140625" style="42" bestFit="1" customWidth="1"/>
    <col min="8" max="16384" width="11.42578125" style="42"/>
  </cols>
  <sheetData>
    <row r="4" spans="1:12">
      <c r="A4" s="42" t="s">
        <v>9</v>
      </c>
      <c r="B4" s="42" t="s">
        <v>94</v>
      </c>
    </row>
    <row r="5" spans="1:12">
      <c r="A5" s="42" t="s">
        <v>18</v>
      </c>
      <c r="B5" s="42">
        <v>654.70000000000005</v>
      </c>
    </row>
    <row r="6" spans="1:12">
      <c r="A6" s="42" t="s">
        <v>11</v>
      </c>
      <c r="B6" s="43">
        <v>43413</v>
      </c>
    </row>
    <row r="7" spans="1:12">
      <c r="A7" s="42" t="s">
        <v>12</v>
      </c>
      <c r="B7" s="43">
        <v>43432</v>
      </c>
    </row>
    <row r="9" spans="1:12">
      <c r="A9" s="44" t="s">
        <v>1</v>
      </c>
      <c r="B9" s="75" t="s">
        <v>17</v>
      </c>
    </row>
    <row r="10" spans="1:12">
      <c r="A10" s="44" t="s">
        <v>3</v>
      </c>
      <c r="B10" s="77" t="s">
        <v>8</v>
      </c>
      <c r="C10" s="77" t="s">
        <v>7</v>
      </c>
      <c r="D10" s="77" t="s">
        <v>6</v>
      </c>
      <c r="E10" s="77" t="s">
        <v>10</v>
      </c>
      <c r="F10" s="77" t="s">
        <v>13</v>
      </c>
      <c r="G10" s="77" t="s">
        <v>15</v>
      </c>
      <c r="I10" s="9"/>
      <c r="J10" s="9"/>
    </row>
    <row r="11" spans="1:12">
      <c r="A11" s="44" t="s">
        <v>4</v>
      </c>
      <c r="B11" s="46">
        <v>204500</v>
      </c>
      <c r="C11" s="46">
        <v>41400</v>
      </c>
      <c r="D11" s="46">
        <v>21820</v>
      </c>
      <c r="E11" s="46">
        <f>B11+C11+D11</f>
        <v>267720</v>
      </c>
      <c r="F11" s="75" t="s">
        <v>14</v>
      </c>
      <c r="G11" s="124">
        <v>3</v>
      </c>
      <c r="I11" s="12"/>
      <c r="J11" s="12"/>
      <c r="K11" s="14"/>
      <c r="L11" s="47"/>
    </row>
    <row r="12" spans="1:12">
      <c r="A12" s="44" t="s">
        <v>5</v>
      </c>
      <c r="B12" s="46">
        <v>261100</v>
      </c>
      <c r="C12" s="46">
        <v>50100</v>
      </c>
      <c r="D12" s="46">
        <v>19556</v>
      </c>
      <c r="E12" s="46">
        <f>B12+C12+D12</f>
        <v>330756</v>
      </c>
      <c r="F12" s="75" t="s">
        <v>14</v>
      </c>
      <c r="G12" s="124"/>
      <c r="I12" s="12"/>
      <c r="J12" s="12"/>
      <c r="K12" s="12"/>
      <c r="L12" s="47"/>
    </row>
    <row r="13" spans="1:12">
      <c r="I13" s="13"/>
      <c r="J13" s="13"/>
      <c r="K13" s="12"/>
      <c r="L13" s="47"/>
    </row>
    <row r="14" spans="1:12">
      <c r="A14" s="44" t="s">
        <v>1</v>
      </c>
      <c r="B14" s="79" t="s">
        <v>95</v>
      </c>
      <c r="I14" s="47"/>
      <c r="J14" s="14"/>
      <c r="K14" s="13"/>
      <c r="L14" s="47"/>
    </row>
    <row r="15" spans="1:12">
      <c r="A15" s="44" t="s">
        <v>3</v>
      </c>
      <c r="B15" s="77" t="s">
        <v>8</v>
      </c>
      <c r="C15" s="77" t="s">
        <v>7</v>
      </c>
      <c r="D15" s="77" t="s">
        <v>6</v>
      </c>
      <c r="E15" s="77" t="s">
        <v>10</v>
      </c>
      <c r="F15" s="77" t="s">
        <v>13</v>
      </c>
      <c r="G15" s="77" t="s">
        <v>15</v>
      </c>
      <c r="I15" s="57" t="s">
        <v>63</v>
      </c>
      <c r="J15" s="12">
        <f>G11+G16+G21</f>
        <v>16</v>
      </c>
      <c r="K15" s="47"/>
    </row>
    <row r="16" spans="1:12">
      <c r="A16" s="44" t="s">
        <v>4</v>
      </c>
      <c r="B16" s="46">
        <v>239100</v>
      </c>
      <c r="C16" s="46">
        <v>46700</v>
      </c>
      <c r="D16" s="46">
        <v>27609</v>
      </c>
      <c r="E16" s="46">
        <f>B16+C16+D16</f>
        <v>313409</v>
      </c>
      <c r="F16" s="75" t="s">
        <v>14</v>
      </c>
      <c r="G16" s="124">
        <v>13</v>
      </c>
      <c r="I16" s="54" t="s">
        <v>61</v>
      </c>
      <c r="J16" s="12">
        <f>(G11*100/(G11+G16+G21))^2+(G16*100/(G11+G16+G21))^2+(G21*100/(G11+G16+G21))^2</f>
        <v>6953.125</v>
      </c>
      <c r="K16" s="47"/>
      <c r="L16" s="9"/>
    </row>
    <row r="17" spans="1:12">
      <c r="A17" s="44" t="s">
        <v>5</v>
      </c>
      <c r="B17" s="46">
        <v>239100</v>
      </c>
      <c r="C17" s="46">
        <v>46700</v>
      </c>
      <c r="D17" s="46">
        <v>27609</v>
      </c>
      <c r="E17" s="46">
        <f>B17+C17+D17</f>
        <v>313409</v>
      </c>
      <c r="F17" s="75" t="s">
        <v>14</v>
      </c>
      <c r="G17" s="124"/>
      <c r="I17" s="47"/>
      <c r="J17" s="13"/>
      <c r="K17" s="47"/>
      <c r="L17" s="10"/>
    </row>
    <row r="18" spans="1:12">
      <c r="I18" s="9"/>
      <c r="J18" s="14"/>
      <c r="K18" s="47"/>
      <c r="L18" s="47"/>
    </row>
    <row r="19" spans="1:12">
      <c r="A19" s="44" t="s">
        <v>1</v>
      </c>
      <c r="B19" s="75"/>
      <c r="I19" s="10"/>
      <c r="J19" s="12"/>
      <c r="K19" s="47"/>
      <c r="L19" s="47"/>
    </row>
    <row r="20" spans="1:12">
      <c r="A20" s="44" t="s">
        <v>3</v>
      </c>
      <c r="B20" s="77" t="s">
        <v>8</v>
      </c>
      <c r="C20" s="77" t="s">
        <v>7</v>
      </c>
      <c r="D20" s="77" t="s">
        <v>6</v>
      </c>
      <c r="E20" s="77" t="s">
        <v>10</v>
      </c>
      <c r="F20" s="77" t="s">
        <v>13</v>
      </c>
      <c r="G20" s="77" t="s">
        <v>15</v>
      </c>
      <c r="I20" s="12"/>
      <c r="J20" s="12"/>
      <c r="K20" s="47"/>
      <c r="L20" s="47"/>
    </row>
    <row r="21" spans="1:12">
      <c r="A21" s="44" t="s">
        <v>4</v>
      </c>
      <c r="B21" s="46"/>
      <c r="C21" s="46"/>
      <c r="D21" s="46"/>
      <c r="E21" s="46">
        <f>B21+C21+D21</f>
        <v>0</v>
      </c>
      <c r="F21" s="75" t="s">
        <v>14</v>
      </c>
      <c r="G21" s="124"/>
      <c r="I21" s="13"/>
      <c r="J21" s="13"/>
      <c r="K21" s="14"/>
      <c r="L21" s="47"/>
    </row>
    <row r="22" spans="1:12">
      <c r="A22" s="44" t="s">
        <v>5</v>
      </c>
      <c r="B22" s="46"/>
      <c r="C22" s="46"/>
      <c r="D22" s="46"/>
      <c r="E22" s="46">
        <f>B22+C22+D22</f>
        <v>0</v>
      </c>
      <c r="F22" s="75" t="s">
        <v>14</v>
      </c>
      <c r="G22" s="124"/>
      <c r="I22" s="12"/>
      <c r="J22" s="13"/>
      <c r="K22" s="12"/>
      <c r="L22" s="47"/>
    </row>
    <row r="23" spans="1:12">
      <c r="I23" s="13"/>
      <c r="J23" s="12"/>
      <c r="K23" s="47"/>
    </row>
    <row r="24" spans="1:12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>
      <c r="A25" s="44" t="s">
        <v>19</v>
      </c>
      <c r="B25" s="46">
        <f>(((B11+B12)/2*$G$11+(B16+B17)/2*$G$16+(B21+B22)/2*$G$21))/($G$11+$G$16+$G$21)/$B$5</f>
        <v>363.40117611119592</v>
      </c>
      <c r="C25" s="46">
        <f>(((C11+C12)/2*$G$11+(C16+C17)/2*$G$16+(C21+C22)/2*$G$21)/($G$11+$G$16+$G$21))/$B$5</f>
        <v>71.058309149228648</v>
      </c>
      <c r="D25" s="46">
        <f>(((D11+D12)/2*$G$11+(D16+D17)/2*$G$16+(D21+D22)/2*$G$21)/($G$11+$G$16+$G$21))/$B$5</f>
        <v>40.188349625782799</v>
      </c>
      <c r="E25" s="46">
        <f>B25+C25+D25</f>
        <v>474.64783488620736</v>
      </c>
      <c r="H25" s="61"/>
      <c r="I25" s="61"/>
    </row>
    <row r="29" spans="1:12">
      <c r="A29" s="42" t="s">
        <v>9</v>
      </c>
      <c r="B29" s="42" t="s">
        <v>96</v>
      </c>
    </row>
    <row r="30" spans="1:12">
      <c r="A30" s="42" t="s">
        <v>18</v>
      </c>
      <c r="B30" s="42">
        <v>982.48</v>
      </c>
    </row>
    <row r="31" spans="1:12">
      <c r="A31" s="42" t="s">
        <v>11</v>
      </c>
      <c r="B31" s="43">
        <v>43365</v>
      </c>
    </row>
    <row r="32" spans="1:12">
      <c r="A32" s="42" t="s">
        <v>12</v>
      </c>
      <c r="B32" s="43">
        <v>43369</v>
      </c>
    </row>
    <row r="34" spans="1:12">
      <c r="A34" s="44" t="s">
        <v>1</v>
      </c>
      <c r="B34" s="75" t="s">
        <v>17</v>
      </c>
    </row>
    <row r="35" spans="1:12">
      <c r="A35" s="44" t="s">
        <v>3</v>
      </c>
      <c r="B35" s="77" t="s">
        <v>8</v>
      </c>
      <c r="C35" s="77" t="s">
        <v>7</v>
      </c>
      <c r="D35" s="77" t="s">
        <v>6</v>
      </c>
      <c r="E35" s="77" t="s">
        <v>10</v>
      </c>
      <c r="F35" s="77" t="s">
        <v>13</v>
      </c>
      <c r="G35" s="77" t="s">
        <v>15</v>
      </c>
      <c r="K35" s="14"/>
    </row>
    <row r="36" spans="1:12">
      <c r="A36" s="44" t="s">
        <v>4</v>
      </c>
      <c r="B36" s="46">
        <v>270600</v>
      </c>
      <c r="C36" s="46">
        <v>51500</v>
      </c>
      <c r="D36" s="46">
        <v>19176</v>
      </c>
      <c r="E36" s="46">
        <f>B36+C36+D36</f>
        <v>341276</v>
      </c>
      <c r="F36" s="75" t="s">
        <v>14</v>
      </c>
      <c r="G36" s="124">
        <v>3</v>
      </c>
      <c r="J36" s="9"/>
      <c r="K36" s="12"/>
      <c r="L36" s="47"/>
    </row>
    <row r="37" spans="1:12">
      <c r="A37" s="44" t="s">
        <v>5</v>
      </c>
      <c r="B37" s="46">
        <v>383800</v>
      </c>
      <c r="C37" s="46">
        <v>69100</v>
      </c>
      <c r="D37" s="46">
        <v>14648</v>
      </c>
      <c r="E37" s="46">
        <f>B37+C37+D37</f>
        <v>467548</v>
      </c>
      <c r="F37" s="75" t="s">
        <v>14</v>
      </c>
      <c r="G37" s="124"/>
      <c r="J37" s="10"/>
      <c r="K37" s="12"/>
      <c r="L37" s="47"/>
    </row>
    <row r="38" spans="1:12">
      <c r="J38" s="12"/>
      <c r="K38" s="13"/>
      <c r="L38" s="47"/>
    </row>
    <row r="39" spans="1:12">
      <c r="A39" s="44" t="s">
        <v>1</v>
      </c>
      <c r="B39" s="79" t="s">
        <v>97</v>
      </c>
      <c r="J39" s="13"/>
      <c r="K39" s="13"/>
      <c r="L39" s="47"/>
    </row>
    <row r="40" spans="1:12">
      <c r="A40" s="44" t="s">
        <v>3</v>
      </c>
      <c r="B40" s="77" t="s">
        <v>8</v>
      </c>
      <c r="C40" s="77" t="s">
        <v>7</v>
      </c>
      <c r="D40" s="77" t="s">
        <v>6</v>
      </c>
      <c r="E40" s="77" t="s">
        <v>10</v>
      </c>
      <c r="F40" s="77" t="s">
        <v>13</v>
      </c>
      <c r="G40" s="77" t="s">
        <v>15</v>
      </c>
      <c r="I40" s="57" t="s">
        <v>63</v>
      </c>
      <c r="J40" s="12">
        <f>G36+G41+G46</f>
        <v>13</v>
      </c>
      <c r="K40" s="13"/>
      <c r="L40" s="47"/>
    </row>
    <row r="41" spans="1:12">
      <c r="A41" s="44" t="s">
        <v>4</v>
      </c>
      <c r="B41" s="46">
        <v>305200</v>
      </c>
      <c r="C41" s="46">
        <v>56900</v>
      </c>
      <c r="D41" s="46">
        <v>26948</v>
      </c>
      <c r="E41" s="46">
        <f>B41+C41+D41</f>
        <v>389048</v>
      </c>
      <c r="F41" s="75" t="s">
        <v>14</v>
      </c>
      <c r="G41" s="124">
        <v>10</v>
      </c>
      <c r="I41" s="54" t="s">
        <v>61</v>
      </c>
      <c r="J41" s="55">
        <f>(G36*100/(G36+G41+G46))^2+(G41*100/(G36+G41+G46))^2+(G46*100/(G36+G41+G46))^2</f>
        <v>6449.7041420118339</v>
      </c>
      <c r="K41" s="14"/>
    </row>
    <row r="42" spans="1:12">
      <c r="A42" s="44" t="s">
        <v>5</v>
      </c>
      <c r="B42" s="46">
        <v>604000</v>
      </c>
      <c r="C42" s="46">
        <v>103100</v>
      </c>
      <c r="D42" s="46">
        <v>38709</v>
      </c>
      <c r="E42" s="46">
        <f>B42+C42+D42</f>
        <v>745809</v>
      </c>
      <c r="F42" s="75" t="s">
        <v>14</v>
      </c>
      <c r="G42" s="124"/>
      <c r="J42" s="12"/>
      <c r="K42" s="12"/>
    </row>
    <row r="43" spans="1:12">
      <c r="I43" s="14"/>
      <c r="J43" s="13"/>
      <c r="K43" s="12"/>
    </row>
    <row r="44" spans="1:12">
      <c r="B44" s="78" t="s">
        <v>8</v>
      </c>
      <c r="C44" s="78" t="s">
        <v>7</v>
      </c>
      <c r="D44" s="78" t="s">
        <v>6</v>
      </c>
      <c r="E44" s="78" t="s">
        <v>10</v>
      </c>
      <c r="I44" s="12"/>
      <c r="J44" s="47"/>
      <c r="K44" s="13"/>
    </row>
    <row r="45" spans="1:12">
      <c r="A45" s="44" t="s">
        <v>19</v>
      </c>
      <c r="B45" s="46">
        <f>(((B36+B37)/2*$G$36+(B41+B42)/2*$G$41)/($G$36+$G$41))/$B$30</f>
        <v>432.78234671443693</v>
      </c>
      <c r="C45" s="46">
        <f t="shared" ref="C45:D45" si="0">(((C36+C37)/2*$G$36+(C41+C42)/2*$G$41)/($G$36+$G$41))/$B$30</f>
        <v>76.799371136151535</v>
      </c>
      <c r="D45" s="46">
        <f t="shared" si="0"/>
        <v>29.675374092563246</v>
      </c>
      <c r="E45" s="46">
        <f>B45+C45+D45</f>
        <v>539.25709194315175</v>
      </c>
      <c r="I45" s="12"/>
      <c r="J45" s="47"/>
    </row>
    <row r="46" spans="1:12">
      <c r="I46" s="13"/>
      <c r="J46" s="47"/>
    </row>
    <row r="47" spans="1:12">
      <c r="I47" s="47"/>
      <c r="J47" s="47"/>
    </row>
    <row r="49" spans="1:12">
      <c r="A49" s="42" t="s">
        <v>9</v>
      </c>
      <c r="B49" s="42" t="s">
        <v>98</v>
      </c>
    </row>
    <row r="50" spans="1:12">
      <c r="A50" s="42" t="s">
        <v>18</v>
      </c>
      <c r="B50" s="42">
        <v>1280.19</v>
      </c>
    </row>
    <row r="51" spans="1:12">
      <c r="A51" s="42" t="s">
        <v>11</v>
      </c>
      <c r="B51" s="43">
        <v>43365</v>
      </c>
    </row>
    <row r="52" spans="1:12">
      <c r="A52" s="42" t="s">
        <v>12</v>
      </c>
      <c r="B52" s="43">
        <v>43369</v>
      </c>
    </row>
    <row r="54" spans="1:12">
      <c r="A54" s="44" t="s">
        <v>1</v>
      </c>
      <c r="B54" s="75" t="s">
        <v>17</v>
      </c>
      <c r="K54" s="9"/>
    </row>
    <row r="55" spans="1:12">
      <c r="A55" s="44" t="s">
        <v>3</v>
      </c>
      <c r="B55" s="77" t="s">
        <v>8</v>
      </c>
      <c r="C55" s="77" t="s">
        <v>7</v>
      </c>
      <c r="D55" s="77" t="s">
        <v>6</v>
      </c>
      <c r="E55" s="77" t="s">
        <v>10</v>
      </c>
      <c r="F55" s="77" t="s">
        <v>13</v>
      </c>
      <c r="G55" s="77" t="s">
        <v>15</v>
      </c>
      <c r="I55" s="14"/>
      <c r="J55" s="47"/>
      <c r="K55" s="9"/>
    </row>
    <row r="56" spans="1:12">
      <c r="A56" s="44" t="s">
        <v>4</v>
      </c>
      <c r="B56" s="46">
        <v>302000</v>
      </c>
      <c r="C56" s="46">
        <v>56400</v>
      </c>
      <c r="D56" s="46">
        <v>17920</v>
      </c>
      <c r="E56" s="46">
        <f>B56+C56+D56</f>
        <v>376320</v>
      </c>
      <c r="F56" s="75" t="s">
        <v>14</v>
      </c>
      <c r="G56" s="124">
        <v>2</v>
      </c>
      <c r="I56" s="12"/>
      <c r="J56" s="47"/>
      <c r="K56" s="9"/>
      <c r="L56" s="47"/>
    </row>
    <row r="57" spans="1:12">
      <c r="A57" s="44" t="s">
        <v>5</v>
      </c>
      <c r="B57" s="46">
        <v>302000</v>
      </c>
      <c r="C57" s="46">
        <v>56400</v>
      </c>
      <c r="D57" s="46">
        <v>17920</v>
      </c>
      <c r="E57" s="46">
        <f>B57+C57+D57</f>
        <v>376320</v>
      </c>
      <c r="F57" s="75" t="s">
        <v>14</v>
      </c>
      <c r="G57" s="124"/>
      <c r="I57" s="12"/>
      <c r="J57" s="47"/>
      <c r="K57" s="10"/>
      <c r="L57" s="47"/>
    </row>
    <row r="58" spans="1:12">
      <c r="I58" s="13"/>
      <c r="J58" s="47"/>
      <c r="K58" s="14"/>
      <c r="L58" s="47"/>
    </row>
    <row r="59" spans="1:12">
      <c r="A59" s="44" t="s">
        <v>1</v>
      </c>
      <c r="B59" s="79" t="s">
        <v>97</v>
      </c>
      <c r="I59" s="47"/>
      <c r="J59" s="47"/>
      <c r="K59" s="12"/>
      <c r="L59" s="47"/>
    </row>
    <row r="60" spans="1:12">
      <c r="A60" s="44" t="s">
        <v>3</v>
      </c>
      <c r="B60" s="77" t="s">
        <v>8</v>
      </c>
      <c r="C60" s="77" t="s">
        <v>7</v>
      </c>
      <c r="D60" s="77" t="s">
        <v>6</v>
      </c>
      <c r="E60" s="77" t="s">
        <v>10</v>
      </c>
      <c r="F60" s="77" t="s">
        <v>13</v>
      </c>
      <c r="G60" s="77" t="s">
        <v>15</v>
      </c>
      <c r="I60" s="57" t="s">
        <v>63</v>
      </c>
      <c r="J60" s="12">
        <f>G56+G61+G66</f>
        <v>9</v>
      </c>
      <c r="K60" s="12"/>
    </row>
    <row r="61" spans="1:12">
      <c r="A61" s="44" t="s">
        <v>4</v>
      </c>
      <c r="B61" s="46">
        <v>336600</v>
      </c>
      <c r="C61" s="46">
        <v>61800</v>
      </c>
      <c r="D61" s="46">
        <v>26634</v>
      </c>
      <c r="E61" s="46">
        <f>B61+C61+D61</f>
        <v>425034</v>
      </c>
      <c r="F61" s="75" t="s">
        <v>14</v>
      </c>
      <c r="G61" s="124">
        <v>7</v>
      </c>
      <c r="I61" s="54" t="s">
        <v>61</v>
      </c>
      <c r="J61" s="55">
        <f>(G56*100/(G56+G61+G66))^2+(G61*100/(G56+G61+G66))^2+(G66*100/(G56+G61+G66))^2</f>
        <v>6543.2098765432092</v>
      </c>
      <c r="K61" s="13"/>
    </row>
    <row r="62" spans="1:12">
      <c r="A62" s="44" t="s">
        <v>5</v>
      </c>
      <c r="B62" s="46">
        <v>336600</v>
      </c>
      <c r="C62" s="46">
        <v>61800</v>
      </c>
      <c r="D62" s="46">
        <v>26634</v>
      </c>
      <c r="E62" s="46">
        <f>B62+C62+D62</f>
        <v>425034</v>
      </c>
      <c r="F62" s="75" t="s">
        <v>14</v>
      </c>
      <c r="G62" s="124"/>
      <c r="I62" s="12"/>
      <c r="J62" s="47"/>
      <c r="K62" s="12"/>
    </row>
    <row r="63" spans="1:12">
      <c r="I63" s="14"/>
      <c r="J63" s="47"/>
      <c r="K63" s="12"/>
    </row>
    <row r="64" spans="1:12">
      <c r="B64" s="78" t="s">
        <v>8</v>
      </c>
      <c r="C64" s="78" t="s">
        <v>7</v>
      </c>
      <c r="D64" s="78" t="s">
        <v>6</v>
      </c>
      <c r="E64" s="78" t="s">
        <v>10</v>
      </c>
      <c r="I64" s="12"/>
      <c r="J64" s="47"/>
      <c r="K64" s="13"/>
    </row>
    <row r="65" spans="1:12">
      <c r="A65" s="44" t="s">
        <v>19</v>
      </c>
      <c r="B65" s="46">
        <f>(((B56+B57)/2*$G$56+(B61+B62)/2*$G$61)/($G$56+$G$61))/$B$50</f>
        <v>256.92366844852023</v>
      </c>
      <c r="C65" s="46">
        <f t="shared" ref="C65:D65" si="1">(((C56+C57)/2*$G$56+(C61+C62)/2*$G$61)/($G$56+$G$61))/$B$50</f>
        <v>47.336723455112129</v>
      </c>
      <c r="D65" s="46">
        <f t="shared" si="1"/>
        <v>19.29210160644557</v>
      </c>
      <c r="E65" s="46">
        <f>B65+C65+D65</f>
        <v>323.55249351007791</v>
      </c>
      <c r="I65" s="12"/>
      <c r="J65" s="47"/>
    </row>
    <row r="66" spans="1:12">
      <c r="I66" s="13"/>
      <c r="J66" s="47"/>
    </row>
    <row r="69" spans="1:12">
      <c r="A69" s="42" t="s">
        <v>9</v>
      </c>
      <c r="B69" s="42" t="s">
        <v>99</v>
      </c>
    </row>
    <row r="70" spans="1:12">
      <c r="A70" s="42" t="s">
        <v>18</v>
      </c>
      <c r="B70" s="42">
        <v>1337.26</v>
      </c>
    </row>
    <row r="71" spans="1:12">
      <c r="A71" s="42" t="s">
        <v>11</v>
      </c>
      <c r="B71" s="43">
        <v>43365</v>
      </c>
    </row>
    <row r="72" spans="1:12">
      <c r="A72" s="42" t="s">
        <v>12</v>
      </c>
      <c r="B72" s="43">
        <v>43369</v>
      </c>
    </row>
    <row r="74" spans="1:12">
      <c r="A74" s="44" t="s">
        <v>1</v>
      </c>
      <c r="B74" s="75" t="s">
        <v>17</v>
      </c>
    </row>
    <row r="75" spans="1:12">
      <c r="A75" s="44" t="s">
        <v>3</v>
      </c>
      <c r="B75" s="77" t="s">
        <v>8</v>
      </c>
      <c r="C75" s="77" t="s">
        <v>7</v>
      </c>
      <c r="D75" s="77" t="s">
        <v>6</v>
      </c>
      <c r="E75" s="77" t="s">
        <v>10</v>
      </c>
      <c r="F75" s="77" t="s">
        <v>13</v>
      </c>
      <c r="G75" s="77" t="s">
        <v>15</v>
      </c>
      <c r="I75" s="9"/>
      <c r="K75" s="9"/>
    </row>
    <row r="76" spans="1:12">
      <c r="A76" s="44" t="s">
        <v>4</v>
      </c>
      <c r="B76" s="46">
        <v>305200</v>
      </c>
      <c r="C76" s="46">
        <v>56900</v>
      </c>
      <c r="D76" s="46">
        <v>17792</v>
      </c>
      <c r="E76" s="46">
        <f>B76+C76+D76</f>
        <v>379892</v>
      </c>
      <c r="F76" s="75" t="s">
        <v>14</v>
      </c>
      <c r="G76" s="124">
        <v>3</v>
      </c>
      <c r="I76" s="10"/>
      <c r="J76" s="9"/>
      <c r="K76" s="10"/>
      <c r="L76" s="47"/>
    </row>
    <row r="77" spans="1:12">
      <c r="A77" s="44" t="s">
        <v>5</v>
      </c>
      <c r="B77" s="46">
        <v>490700</v>
      </c>
      <c r="C77" s="46">
        <v>85600</v>
      </c>
      <c r="D77" s="46">
        <v>15905</v>
      </c>
      <c r="E77" s="46">
        <f>B77+C77+D77</f>
        <v>592205</v>
      </c>
      <c r="F77" s="75" t="s">
        <v>14</v>
      </c>
      <c r="G77" s="124"/>
      <c r="I77" s="12"/>
      <c r="J77" s="12"/>
      <c r="K77" s="14"/>
      <c r="L77" s="47"/>
    </row>
    <row r="78" spans="1:12">
      <c r="I78" s="13"/>
      <c r="J78" s="12"/>
      <c r="K78" s="12"/>
      <c r="L78" s="47"/>
    </row>
    <row r="79" spans="1:12">
      <c r="A79" s="44" t="s">
        <v>1</v>
      </c>
      <c r="B79" s="79" t="s">
        <v>97</v>
      </c>
      <c r="I79" s="47"/>
      <c r="J79" s="13"/>
      <c r="K79" s="12"/>
      <c r="L79" s="47"/>
    </row>
    <row r="80" spans="1:12">
      <c r="A80" s="44" t="s">
        <v>3</v>
      </c>
      <c r="B80" s="77" t="s">
        <v>8</v>
      </c>
      <c r="C80" s="77" t="s">
        <v>7</v>
      </c>
      <c r="D80" s="77" t="s">
        <v>6</v>
      </c>
      <c r="E80" s="77" t="s">
        <v>10</v>
      </c>
      <c r="F80" s="77" t="s">
        <v>13</v>
      </c>
      <c r="G80" s="77" t="s">
        <v>15</v>
      </c>
      <c r="I80" s="57" t="s">
        <v>63</v>
      </c>
      <c r="J80" s="12">
        <f>G76+G81+G86</f>
        <v>8</v>
      </c>
      <c r="K80" s="13"/>
    </row>
    <row r="81" spans="1:11">
      <c r="A81" s="44" t="s">
        <v>4</v>
      </c>
      <c r="B81" s="46">
        <v>380600</v>
      </c>
      <c r="C81" s="46">
        <v>68600</v>
      </c>
      <c r="D81" s="46">
        <v>26194</v>
      </c>
      <c r="E81" s="46">
        <f>B81+C81+D81</f>
        <v>475394</v>
      </c>
      <c r="F81" s="75" t="s">
        <v>14</v>
      </c>
      <c r="G81" s="124">
        <v>5</v>
      </c>
      <c r="I81" s="54" t="s">
        <v>61</v>
      </c>
      <c r="J81" s="55">
        <f>(G76*100/(G76+G81+G86))^2+(G81*100/(G76+G81+G86))^2+(G86*100/(G76+G81+G86))^2</f>
        <v>5312.5</v>
      </c>
      <c r="K81" s="14"/>
    </row>
    <row r="82" spans="1:11">
      <c r="A82" s="44" t="s">
        <v>5</v>
      </c>
      <c r="B82" s="46">
        <v>597700</v>
      </c>
      <c r="C82" s="46">
        <v>102100</v>
      </c>
      <c r="D82" s="46">
        <v>38310</v>
      </c>
      <c r="E82" s="46">
        <f>B82+C82+D82</f>
        <v>738110</v>
      </c>
      <c r="F82" s="75" t="s">
        <v>14</v>
      </c>
      <c r="G82" s="124"/>
      <c r="I82" s="12"/>
      <c r="J82" s="47"/>
      <c r="K82" s="12"/>
    </row>
    <row r="83" spans="1:11">
      <c r="I83" s="9"/>
      <c r="J83" s="47"/>
      <c r="K83" s="12"/>
    </row>
    <row r="84" spans="1:11">
      <c r="A84" s="44" t="s">
        <v>1</v>
      </c>
      <c r="B84" s="75"/>
      <c r="I84" s="10"/>
      <c r="K84" s="11"/>
    </row>
    <row r="85" spans="1:11">
      <c r="A85" s="44" t="s">
        <v>3</v>
      </c>
      <c r="B85" s="77" t="s">
        <v>8</v>
      </c>
      <c r="C85" s="77" t="s">
        <v>7</v>
      </c>
      <c r="D85" s="77" t="s">
        <v>6</v>
      </c>
      <c r="E85" s="77" t="s">
        <v>10</v>
      </c>
      <c r="F85" s="77" t="s">
        <v>13</v>
      </c>
      <c r="G85" s="77" t="s">
        <v>15</v>
      </c>
      <c r="I85" s="12"/>
    </row>
    <row r="86" spans="1:11">
      <c r="A86" s="44" t="s">
        <v>4</v>
      </c>
      <c r="B86" s="46"/>
      <c r="C86" s="46"/>
      <c r="D86" s="46"/>
      <c r="E86" s="46">
        <f>B86+C86+D86</f>
        <v>0</v>
      </c>
      <c r="F86" s="75" t="s">
        <v>14</v>
      </c>
      <c r="G86" s="124"/>
      <c r="I86" s="11"/>
    </row>
    <row r="87" spans="1:11">
      <c r="A87" s="44" t="s">
        <v>5</v>
      </c>
      <c r="B87" s="46"/>
      <c r="C87" s="46"/>
      <c r="D87" s="46"/>
      <c r="E87" s="46">
        <f>B87+C87+D87</f>
        <v>0</v>
      </c>
      <c r="F87" s="75" t="s">
        <v>14</v>
      </c>
      <c r="G87" s="124"/>
    </row>
    <row r="89" spans="1:11">
      <c r="B89" s="78" t="s">
        <v>8</v>
      </c>
      <c r="C89" s="78" t="s">
        <v>7</v>
      </c>
      <c r="D89" s="78" t="s">
        <v>6</v>
      </c>
      <c r="E89" s="78" t="s">
        <v>10</v>
      </c>
    </row>
    <row r="90" spans="1:11">
      <c r="A90" s="44" t="s">
        <v>19</v>
      </c>
      <c r="B90" s="46">
        <f>(((B76+B77)/2*$G$76+(B81+B82)/2*$G$81)/($G$76+$G$81))/$B$70</f>
        <v>340.21057984236421</v>
      </c>
      <c r="C90" s="46">
        <f t="shared" ref="C90:D90" si="2">(((C76+C77)/2*$G$76+(C81+C82)/2*$G$81)/($G$76+$G$81))/$B$70</f>
        <v>59.870556211955794</v>
      </c>
      <c r="D90" s="46">
        <f t="shared" si="2"/>
        <v>19.798459162765656</v>
      </c>
      <c r="E90" s="46">
        <f>B90+C90+D90</f>
        <v>419.87959521708564</v>
      </c>
    </row>
    <row r="94" spans="1:11">
      <c r="A94" s="42" t="s">
        <v>9</v>
      </c>
      <c r="B94" s="42" t="s">
        <v>100</v>
      </c>
    </row>
    <row r="95" spans="1:11">
      <c r="A95" s="42" t="s">
        <v>18</v>
      </c>
      <c r="B95" s="42">
        <v>1072.3399999999999</v>
      </c>
    </row>
    <row r="96" spans="1:11">
      <c r="A96" s="42" t="s">
        <v>11</v>
      </c>
      <c r="B96" s="43">
        <v>43365</v>
      </c>
    </row>
    <row r="97" spans="1:13">
      <c r="A97" s="42" t="s">
        <v>12</v>
      </c>
      <c r="B97" s="43">
        <v>43369</v>
      </c>
    </row>
    <row r="99" spans="1:13">
      <c r="A99" s="44" t="s">
        <v>1</v>
      </c>
      <c r="B99" s="75" t="s">
        <v>17</v>
      </c>
    </row>
    <row r="100" spans="1:13">
      <c r="A100" s="44" t="s">
        <v>3</v>
      </c>
      <c r="B100" s="77" t="s">
        <v>8</v>
      </c>
      <c r="C100" s="77" t="s">
        <v>7</v>
      </c>
      <c r="D100" s="77" t="s">
        <v>6</v>
      </c>
      <c r="E100" s="77" t="s">
        <v>10</v>
      </c>
      <c r="F100" s="77" t="s">
        <v>13</v>
      </c>
      <c r="G100" s="77" t="s">
        <v>15</v>
      </c>
    </row>
    <row r="101" spans="1:13">
      <c r="A101" s="44" t="s">
        <v>4</v>
      </c>
      <c r="B101" s="46">
        <v>320900</v>
      </c>
      <c r="C101" s="46">
        <v>59400</v>
      </c>
      <c r="D101" s="46">
        <v>17164</v>
      </c>
      <c r="E101" s="46">
        <f>B101+C101+D101</f>
        <v>397464</v>
      </c>
      <c r="F101" s="75" t="s">
        <v>14</v>
      </c>
      <c r="G101" s="124">
        <v>2</v>
      </c>
      <c r="J101" s="9"/>
      <c r="K101" s="9"/>
      <c r="L101" s="47"/>
    </row>
    <row r="102" spans="1:13">
      <c r="A102" s="44" t="s">
        <v>5</v>
      </c>
      <c r="B102" s="46">
        <v>320900</v>
      </c>
      <c r="C102" s="46">
        <v>59400</v>
      </c>
      <c r="D102" s="46">
        <v>17164</v>
      </c>
      <c r="E102" s="46">
        <f>B102+C102+D102</f>
        <v>397464</v>
      </c>
      <c r="F102" s="75" t="s">
        <v>14</v>
      </c>
      <c r="G102" s="124"/>
      <c r="J102" s="10"/>
      <c r="K102" s="10"/>
      <c r="L102" s="47"/>
    </row>
    <row r="103" spans="1:13">
      <c r="J103" s="12"/>
      <c r="K103" s="14"/>
      <c r="L103" s="47"/>
      <c r="M103" s="47"/>
    </row>
    <row r="104" spans="1:13">
      <c r="A104" s="44" t="s">
        <v>1</v>
      </c>
      <c r="B104" s="79" t="s">
        <v>97</v>
      </c>
      <c r="J104" s="14"/>
      <c r="K104" s="12"/>
      <c r="L104" s="47"/>
      <c r="M104" s="47"/>
    </row>
    <row r="105" spans="1:13">
      <c r="A105" s="44" t="s">
        <v>3</v>
      </c>
      <c r="B105" s="77" t="s">
        <v>8</v>
      </c>
      <c r="C105" s="77" t="s">
        <v>7</v>
      </c>
      <c r="D105" s="77" t="s">
        <v>6</v>
      </c>
      <c r="E105" s="77" t="s">
        <v>10</v>
      </c>
      <c r="F105" s="77" t="s">
        <v>13</v>
      </c>
      <c r="G105" s="77" t="s">
        <v>15</v>
      </c>
      <c r="I105" s="57" t="s">
        <v>63</v>
      </c>
      <c r="J105" s="12">
        <f>G101+G106+G111</f>
        <v>9</v>
      </c>
      <c r="K105" s="12"/>
      <c r="L105" s="14"/>
      <c r="M105" s="47"/>
    </row>
    <row r="106" spans="1:13">
      <c r="A106" s="44" t="s">
        <v>4</v>
      </c>
      <c r="B106" s="46">
        <v>317700</v>
      </c>
      <c r="C106" s="46">
        <v>58800</v>
      </c>
      <c r="D106" s="46">
        <v>26823</v>
      </c>
      <c r="E106" s="46">
        <f>B106+C106+D106</f>
        <v>403323</v>
      </c>
      <c r="F106" s="75" t="s">
        <v>14</v>
      </c>
      <c r="G106" s="124">
        <v>7</v>
      </c>
      <c r="I106" s="54" t="s">
        <v>61</v>
      </c>
      <c r="J106" s="55">
        <f>(G101*100/(G101+G106+G111))^2+(G106*100/(G101+G106+G111))^2+(G111*100/(G101+G106+G111))^2</f>
        <v>6543.2098765432092</v>
      </c>
      <c r="K106" s="33"/>
      <c r="L106" s="12"/>
      <c r="M106" s="47"/>
    </row>
    <row r="107" spans="1:13">
      <c r="A107" s="44" t="s">
        <v>5</v>
      </c>
      <c r="B107" s="46">
        <v>626000</v>
      </c>
      <c r="C107" s="46">
        <v>106500</v>
      </c>
      <c r="D107" s="46">
        <v>40096</v>
      </c>
      <c r="E107" s="46">
        <f>B107+C107+D107</f>
        <v>772596</v>
      </c>
      <c r="F107" s="75" t="s">
        <v>14</v>
      </c>
      <c r="G107" s="124"/>
      <c r="J107" s="12"/>
      <c r="K107" s="34"/>
      <c r="L107" s="12"/>
      <c r="M107" s="47"/>
    </row>
    <row r="108" spans="1:13">
      <c r="I108" s="14"/>
      <c r="J108" s="33"/>
      <c r="K108" s="47"/>
      <c r="L108" s="13"/>
      <c r="M108" s="47"/>
    </row>
    <row r="109" spans="1:13">
      <c r="A109" s="44" t="s">
        <v>1</v>
      </c>
      <c r="B109" s="75"/>
      <c r="I109" s="12"/>
      <c r="J109" s="34"/>
      <c r="K109" s="47"/>
    </row>
    <row r="110" spans="1:13">
      <c r="A110" s="44" t="s">
        <v>3</v>
      </c>
      <c r="B110" s="77" t="s">
        <v>8</v>
      </c>
      <c r="C110" s="77" t="s">
        <v>7</v>
      </c>
      <c r="D110" s="77" t="s">
        <v>6</v>
      </c>
      <c r="E110" s="77" t="s">
        <v>10</v>
      </c>
      <c r="F110" s="77" t="s">
        <v>13</v>
      </c>
      <c r="G110" s="77" t="s">
        <v>15</v>
      </c>
      <c r="I110" s="12"/>
      <c r="J110" s="14"/>
      <c r="K110" s="47"/>
    </row>
    <row r="111" spans="1:13">
      <c r="A111" s="44" t="s">
        <v>4</v>
      </c>
      <c r="B111" s="46"/>
      <c r="C111" s="46"/>
      <c r="D111" s="46"/>
      <c r="E111" s="46">
        <f>B111+C111+D111</f>
        <v>0</v>
      </c>
      <c r="F111" s="75" t="s">
        <v>14</v>
      </c>
      <c r="G111" s="128"/>
      <c r="I111" s="13"/>
      <c r="J111" s="12"/>
      <c r="K111" s="47"/>
    </row>
    <row r="112" spans="1:13">
      <c r="A112" s="44" t="s">
        <v>5</v>
      </c>
      <c r="B112" s="46"/>
      <c r="C112" s="46"/>
      <c r="D112" s="46"/>
      <c r="E112" s="46">
        <f>B112+C112+D112</f>
        <v>0</v>
      </c>
      <c r="F112" s="75" t="s">
        <v>14</v>
      </c>
      <c r="G112" s="129"/>
      <c r="J112" s="12"/>
      <c r="K112" s="47"/>
    </row>
    <row r="113" spans="1:11">
      <c r="J113" s="13"/>
      <c r="K113" s="47"/>
    </row>
    <row r="114" spans="1:11">
      <c r="B114" s="78" t="s">
        <v>8</v>
      </c>
      <c r="C114" s="78" t="s">
        <v>7</v>
      </c>
      <c r="D114" s="78" t="s">
        <v>6</v>
      </c>
      <c r="E114" s="78" t="s">
        <v>10</v>
      </c>
      <c r="J114" s="47"/>
      <c r="K114" s="47"/>
    </row>
    <row r="115" spans="1:11">
      <c r="A115" s="44" t="s">
        <v>19</v>
      </c>
      <c r="B115" s="46">
        <f>(((B101+B102)/2*$G$101+(B106+B107)/2*$G$106+(B111+B112)/2*$G$111)/($G$101+$G$106+$G$111))/$B$95</f>
        <v>408.73748583057204</v>
      </c>
      <c r="C115" s="46">
        <f>(((C101+C102)/2*$G$101+(C106+C107)/2*$G$106+(C111+C112)/2*$G$111)/($G$101+$G$106+$G$111))/$B$95</f>
        <v>72.256311741922644</v>
      </c>
      <c r="D115" s="46">
        <f>(((D101+D102)/2*$G$101+(D106+D107)/2*$G$106+(D111+D112)/2*$G$111)/($G$101+$G$106+$G$111))/$B$95</f>
        <v>27.825389128240836</v>
      </c>
      <c r="E115" s="46">
        <f>B115+C115+D115</f>
        <v>508.81918670073554</v>
      </c>
    </row>
    <row r="119" spans="1:11">
      <c r="A119" s="42" t="s">
        <v>9</v>
      </c>
      <c r="B119" s="42" t="s">
        <v>101</v>
      </c>
    </row>
    <row r="120" spans="1:11">
      <c r="A120" s="42" t="s">
        <v>18</v>
      </c>
      <c r="B120" s="42">
        <v>290.87</v>
      </c>
    </row>
    <row r="121" spans="1:11">
      <c r="A121" s="42" t="s">
        <v>11</v>
      </c>
      <c r="B121" s="43">
        <v>43365</v>
      </c>
    </row>
    <row r="122" spans="1:11">
      <c r="A122" s="42" t="s">
        <v>12</v>
      </c>
      <c r="B122" s="43">
        <v>43369</v>
      </c>
    </row>
    <row r="124" spans="1:11">
      <c r="A124" s="44" t="s">
        <v>1</v>
      </c>
      <c r="B124" s="79" t="s">
        <v>102</v>
      </c>
    </row>
    <row r="125" spans="1:11">
      <c r="A125" s="44" t="s">
        <v>3</v>
      </c>
      <c r="B125" s="77" t="s">
        <v>8</v>
      </c>
      <c r="C125" s="77" t="s">
        <v>7</v>
      </c>
      <c r="D125" s="77" t="s">
        <v>6</v>
      </c>
      <c r="E125" s="77" t="s">
        <v>10</v>
      </c>
      <c r="F125" s="77" t="s">
        <v>13</v>
      </c>
      <c r="G125" s="77" t="s">
        <v>15</v>
      </c>
    </row>
    <row r="126" spans="1:11">
      <c r="A126" s="44" t="s">
        <v>4</v>
      </c>
      <c r="B126" s="46">
        <v>103800</v>
      </c>
      <c r="C126" s="46">
        <v>50900</v>
      </c>
      <c r="D126" s="46">
        <v>28962</v>
      </c>
      <c r="E126" s="46">
        <f>B126+C126+D126</f>
        <v>183662</v>
      </c>
      <c r="F126" s="75" t="s">
        <v>14</v>
      </c>
      <c r="G126" s="124">
        <v>2</v>
      </c>
      <c r="J126" s="9"/>
      <c r="K126" s="9"/>
    </row>
    <row r="127" spans="1:11">
      <c r="A127" s="44" t="s">
        <v>5</v>
      </c>
      <c r="B127" s="46">
        <v>103800</v>
      </c>
      <c r="C127" s="46">
        <v>50900</v>
      </c>
      <c r="D127" s="46">
        <v>28962</v>
      </c>
      <c r="E127" s="46">
        <f>B127+C127+D127</f>
        <v>183662</v>
      </c>
      <c r="F127" s="75" t="s">
        <v>14</v>
      </c>
      <c r="G127" s="124"/>
      <c r="J127" s="10"/>
      <c r="K127" s="10"/>
    </row>
    <row r="128" spans="1:11">
      <c r="J128" s="12"/>
      <c r="K128" s="12"/>
    </row>
    <row r="129" spans="1:12">
      <c r="A129" s="44" t="s">
        <v>1</v>
      </c>
      <c r="B129" s="79" t="s">
        <v>97</v>
      </c>
      <c r="J129" s="13"/>
      <c r="K129" s="13"/>
      <c r="L129" s="47"/>
    </row>
    <row r="130" spans="1:12">
      <c r="A130" s="44" t="s">
        <v>3</v>
      </c>
      <c r="B130" s="77" t="s">
        <v>8</v>
      </c>
      <c r="C130" s="77" t="s">
        <v>7</v>
      </c>
      <c r="D130" s="77" t="s">
        <v>6</v>
      </c>
      <c r="E130" s="77" t="s">
        <v>10</v>
      </c>
      <c r="F130" s="77" t="s">
        <v>13</v>
      </c>
      <c r="G130" s="77" t="s">
        <v>15</v>
      </c>
      <c r="I130" s="57" t="s">
        <v>63</v>
      </c>
      <c r="J130" s="12">
        <f>G126+G131+G136</f>
        <v>6</v>
      </c>
      <c r="K130" s="14"/>
      <c r="L130" s="47"/>
    </row>
    <row r="131" spans="1:12">
      <c r="A131" s="44" t="s">
        <v>4</v>
      </c>
      <c r="B131" s="46">
        <v>141600</v>
      </c>
      <c r="C131" s="46">
        <v>31600</v>
      </c>
      <c r="D131" s="46">
        <v>28584</v>
      </c>
      <c r="E131" s="46">
        <f>B131+C131+D131</f>
        <v>201784</v>
      </c>
      <c r="F131" s="75" t="s">
        <v>14</v>
      </c>
      <c r="G131" s="124">
        <v>4</v>
      </c>
      <c r="I131" s="54" t="s">
        <v>61</v>
      </c>
      <c r="J131" s="55">
        <f>(G126*100/(G126+G131+G136))^2+(G131*100/(G126+G131+G136))^2+(G136*100/(G126+G131+G136))^2</f>
        <v>5555.5555555555566</v>
      </c>
      <c r="K131" s="12"/>
      <c r="L131" s="47"/>
    </row>
    <row r="132" spans="1:12">
      <c r="A132" s="44" t="s">
        <v>5</v>
      </c>
      <c r="B132" s="46">
        <v>179300</v>
      </c>
      <c r="C132" s="46">
        <v>37400</v>
      </c>
      <c r="D132" s="46">
        <v>28207</v>
      </c>
      <c r="E132" s="46">
        <f>B132+C132+D132</f>
        <v>244907</v>
      </c>
      <c r="F132" s="75" t="s">
        <v>14</v>
      </c>
      <c r="G132" s="124"/>
      <c r="J132" s="12"/>
      <c r="K132" s="12"/>
      <c r="L132" s="47"/>
    </row>
    <row r="133" spans="1:12">
      <c r="I133" s="14"/>
      <c r="J133" s="13"/>
      <c r="K133" s="13"/>
      <c r="L133" s="47"/>
    </row>
    <row r="134" spans="1:12">
      <c r="A134" s="44" t="s">
        <v>1</v>
      </c>
      <c r="B134" s="75"/>
      <c r="I134" s="12"/>
      <c r="J134" s="13"/>
      <c r="K134" s="13"/>
      <c r="L134" s="47"/>
    </row>
    <row r="135" spans="1:12">
      <c r="A135" s="44" t="s">
        <v>3</v>
      </c>
      <c r="B135" s="77" t="s">
        <v>8</v>
      </c>
      <c r="C135" s="77" t="s">
        <v>7</v>
      </c>
      <c r="D135" s="77" t="s">
        <v>6</v>
      </c>
      <c r="E135" s="77" t="s">
        <v>10</v>
      </c>
      <c r="F135" s="77" t="s">
        <v>13</v>
      </c>
      <c r="G135" s="77" t="s">
        <v>15</v>
      </c>
      <c r="I135" s="12"/>
      <c r="J135" s="14"/>
      <c r="K135" s="47"/>
    </row>
    <row r="136" spans="1:12">
      <c r="A136" s="44" t="s">
        <v>4</v>
      </c>
      <c r="B136" s="46"/>
      <c r="C136" s="46"/>
      <c r="D136" s="46"/>
      <c r="E136" s="46">
        <f>B136+C136+D136</f>
        <v>0</v>
      </c>
      <c r="F136" s="75" t="s">
        <v>14</v>
      </c>
      <c r="G136" s="124"/>
      <c r="I136" s="13"/>
      <c r="J136" s="14"/>
      <c r="K136" s="47"/>
    </row>
    <row r="137" spans="1:12">
      <c r="A137" s="44" t="s">
        <v>5</v>
      </c>
      <c r="B137" s="46"/>
      <c r="C137" s="46"/>
      <c r="D137" s="46"/>
      <c r="E137" s="46">
        <f>B137+C137+D137</f>
        <v>0</v>
      </c>
      <c r="F137" s="75" t="s">
        <v>14</v>
      </c>
      <c r="G137" s="124"/>
      <c r="I137" s="12"/>
      <c r="J137" s="12"/>
      <c r="K137" s="47"/>
    </row>
    <row r="138" spans="1:12">
      <c r="I138" s="11"/>
      <c r="J138" s="12"/>
      <c r="K138" s="47"/>
    </row>
    <row r="139" spans="1:12">
      <c r="B139" s="78" t="s">
        <v>8</v>
      </c>
      <c r="C139" s="78" t="s">
        <v>7</v>
      </c>
      <c r="D139" s="78" t="s">
        <v>6</v>
      </c>
      <c r="E139" s="78" t="s">
        <v>10</v>
      </c>
      <c r="J139" s="13"/>
      <c r="K139" s="47"/>
    </row>
    <row r="140" spans="1:12">
      <c r="A140" s="44" t="s">
        <v>19</v>
      </c>
      <c r="B140" s="46">
        <f>(((B126+B127)/2*$G$126+(B131+B132)/2*$G$131+(B136+B137)/2*$G$136)/($G$126+$G$131+$G$136))/$B$120</f>
        <v>486.70081708896294</v>
      </c>
      <c r="C140" s="46">
        <f t="shared" ref="C140:D140" si="3">(((C126+C127)/2*$G$126+(C131+C132)/2*$G$131+(C136+C137)/2*$G$136)/($G$126+$G$131+$G$136))/$B$120</f>
        <v>137.40388031308373</v>
      </c>
      <c r="D140" s="46">
        <f t="shared" si="3"/>
        <v>98.271851113326676</v>
      </c>
      <c r="E140" s="46">
        <f>B140+C140+D140</f>
        <v>722.37654851537332</v>
      </c>
    </row>
    <row r="143" spans="1:12" ht="30">
      <c r="A143" s="77" t="s">
        <v>103</v>
      </c>
      <c r="B143" s="67" t="s">
        <v>78</v>
      </c>
      <c r="C143" s="67" t="s">
        <v>80</v>
      </c>
      <c r="D143" s="44" t="s">
        <v>81</v>
      </c>
      <c r="E143" s="67" t="s">
        <v>79</v>
      </c>
    </row>
    <row r="144" spans="1:12">
      <c r="A144" s="56">
        <f>(J16*(G11+G16+G21)+J41*(G36+G41)+J61*(G56+G61)+J81*(G76+G81)+J106*(G101+G106+G111)+J131*(G126+G131+G136))/(G11+G16+G21+G36+G41+G56+G61+G76+G81+G101+G106+G111+G126+G131+G136)</f>
        <v>6372.2502452010658</v>
      </c>
      <c r="B144" s="63">
        <f>(B25*$J$15+B45*$J$40+B65*$J$60+B90*$J$80+B115*$J$105+B140*$J$130)/($J$15+$J$40+$J$60+$J$80+$J$105+$J$130)</f>
        <v>378.25293860412023</v>
      </c>
      <c r="C144" s="63">
        <f>(C25*$J$15+C45*$J$40+C65*$J$60+C90*$J$80+C115*$J$105+C140*$J$130)/($J$15+$J$40+$J$60+$J$80+$J$105+$J$130)</f>
        <v>74.017210155821147</v>
      </c>
      <c r="D144" s="63">
        <f>(D25*$J$15+D45*$J$40+D65*$J$60+D90*$J$80+D115*$J$105+D140*$J$130)/($J$15+$J$40+$J$60+$J$80+$J$105+$J$130)</f>
        <v>36.079830390329668</v>
      </c>
      <c r="E144" s="63">
        <f>B144+C144+D144</f>
        <v>488.34997915027105</v>
      </c>
    </row>
    <row r="146" spans="1:2">
      <c r="A146" s="44" t="s">
        <v>83</v>
      </c>
      <c r="B146" s="68">
        <f>C144/E144</f>
        <v>0.15156591239055869</v>
      </c>
    </row>
  </sheetData>
  <mergeCells count="16">
    <mergeCell ref="G56:G57"/>
    <mergeCell ref="G11:G12"/>
    <mergeCell ref="G16:G17"/>
    <mergeCell ref="G21:G22"/>
    <mergeCell ref="G36:G37"/>
    <mergeCell ref="G41:G42"/>
    <mergeCell ref="G111:G112"/>
    <mergeCell ref="G126:G127"/>
    <mergeCell ref="G131:G132"/>
    <mergeCell ref="G136:G137"/>
    <mergeCell ref="G61:G62"/>
    <mergeCell ref="G76:G77"/>
    <mergeCell ref="G81:G82"/>
    <mergeCell ref="G86:G87"/>
    <mergeCell ref="G101:G102"/>
    <mergeCell ref="G106:G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127"/>
  <sheetViews>
    <sheetView topLeftCell="A97" workbookViewId="0">
      <selection activeCell="B100" sqref="B100:C100"/>
    </sheetView>
  </sheetViews>
  <sheetFormatPr baseColWidth="10" defaultRowHeight="15"/>
  <cols>
    <col min="1" max="1" width="19.42578125" bestFit="1" customWidth="1"/>
    <col min="7" max="7" width="16.140625" bestFit="1" customWidth="1"/>
  </cols>
  <sheetData>
    <row r="2" spans="1:16">
      <c r="A2" t="s">
        <v>116</v>
      </c>
      <c r="B2" t="s">
        <v>117</v>
      </c>
    </row>
    <row r="4" spans="1:16">
      <c r="A4" t="s">
        <v>9</v>
      </c>
      <c r="B4" s="126" t="s">
        <v>118</v>
      </c>
      <c r="C4" s="127"/>
      <c r="D4" s="23"/>
      <c r="E4" s="23"/>
      <c r="F4" s="23"/>
      <c r="G4" s="23"/>
    </row>
    <row r="5" spans="1:16">
      <c r="A5" t="s">
        <v>18</v>
      </c>
      <c r="B5" s="23">
        <v>1124.53</v>
      </c>
      <c r="C5" s="23"/>
      <c r="D5" s="23"/>
      <c r="E5" s="23"/>
      <c r="F5" s="23"/>
      <c r="G5" s="23"/>
    </row>
    <row r="6" spans="1:16">
      <c r="A6" t="s">
        <v>11</v>
      </c>
      <c r="B6" s="25">
        <v>43413</v>
      </c>
      <c r="C6" s="23"/>
      <c r="D6" s="23"/>
      <c r="E6" s="23"/>
      <c r="F6" s="23"/>
      <c r="G6" s="23"/>
    </row>
    <row r="7" spans="1:16">
      <c r="A7" t="s">
        <v>12</v>
      </c>
      <c r="B7" s="25">
        <v>43432</v>
      </c>
      <c r="C7" s="23"/>
      <c r="D7" s="23"/>
      <c r="E7" s="23"/>
      <c r="F7" s="23"/>
      <c r="G7" s="23"/>
    </row>
    <row r="8" spans="1:16">
      <c r="B8" s="23"/>
      <c r="C8" s="23"/>
      <c r="D8" s="23"/>
      <c r="E8" s="23"/>
      <c r="F8" s="23"/>
      <c r="G8" s="23"/>
    </row>
    <row r="9" spans="1:16">
      <c r="A9" s="4" t="s">
        <v>1</v>
      </c>
      <c r="B9" s="72" t="s">
        <v>105</v>
      </c>
      <c r="C9" s="23"/>
      <c r="D9" s="23"/>
      <c r="E9" s="23"/>
      <c r="F9" s="23"/>
      <c r="G9" s="23"/>
    </row>
    <row r="10" spans="1:16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6">
      <c r="A11" s="4" t="s">
        <v>4</v>
      </c>
      <c r="B11" s="29">
        <v>412100</v>
      </c>
      <c r="C11" s="29">
        <v>28300</v>
      </c>
      <c r="D11" s="29">
        <v>13516</v>
      </c>
      <c r="E11" s="29">
        <f>B11+C11+D11</f>
        <v>453916</v>
      </c>
      <c r="F11" s="30" t="s">
        <v>14</v>
      </c>
      <c r="G11" s="125">
        <v>14</v>
      </c>
      <c r="K11" s="9"/>
    </row>
    <row r="12" spans="1:16">
      <c r="A12" s="4" t="s">
        <v>5</v>
      </c>
      <c r="B12" s="29">
        <v>512700</v>
      </c>
      <c r="C12" s="29">
        <v>28300</v>
      </c>
      <c r="D12" s="29">
        <v>12715</v>
      </c>
      <c r="E12" s="29">
        <f>B12+C12+D12</f>
        <v>553715</v>
      </c>
      <c r="F12" s="30" t="s">
        <v>14</v>
      </c>
      <c r="G12" s="125"/>
      <c r="K12" s="10"/>
    </row>
    <row r="13" spans="1:16">
      <c r="B13" s="23"/>
      <c r="C13" s="23"/>
      <c r="D13" s="23"/>
      <c r="E13" s="23"/>
      <c r="F13" s="23"/>
      <c r="G13" s="23"/>
      <c r="I13" s="3"/>
      <c r="J13" s="3"/>
      <c r="K13" s="12"/>
      <c r="P13" s="83"/>
    </row>
    <row r="14" spans="1:16">
      <c r="A14" s="4" t="s">
        <v>1</v>
      </c>
      <c r="B14" s="72" t="s">
        <v>119</v>
      </c>
      <c r="C14" s="23"/>
      <c r="D14" s="23"/>
      <c r="E14" s="23"/>
      <c r="F14" s="23"/>
      <c r="G14" s="23"/>
      <c r="I14" s="3"/>
      <c r="J14" s="3"/>
      <c r="K14" s="2"/>
      <c r="O14" s="83"/>
    </row>
    <row r="15" spans="1:16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23</v>
      </c>
      <c r="K15" s="3"/>
      <c r="P15" s="84"/>
    </row>
    <row r="16" spans="1:16">
      <c r="A16" s="4" t="s">
        <v>4</v>
      </c>
      <c r="B16" s="29">
        <v>453000</v>
      </c>
      <c r="C16" s="29">
        <v>28300</v>
      </c>
      <c r="D16" s="29">
        <v>25903</v>
      </c>
      <c r="E16" s="29">
        <f>B16+C16+D16</f>
        <v>507203</v>
      </c>
      <c r="F16" s="30" t="s">
        <v>14</v>
      </c>
      <c r="G16" s="125">
        <v>9</v>
      </c>
      <c r="I16" s="54" t="s">
        <v>61</v>
      </c>
      <c r="J16" s="55">
        <f>(G11*100/(G11+G16+G21))^2+(G16*100/(G11+G16+G21))^2+(G21*100/(G11+G16+G21))^2</f>
        <v>5236.2948960302456</v>
      </c>
      <c r="K16" s="3"/>
      <c r="L16" s="9"/>
      <c r="O16" s="84"/>
    </row>
    <row r="17" spans="1:16">
      <c r="A17" s="4" t="s">
        <v>5</v>
      </c>
      <c r="B17" s="29">
        <v>578800</v>
      </c>
      <c r="C17" s="29">
        <v>56600</v>
      </c>
      <c r="D17" s="29">
        <v>34400</v>
      </c>
      <c r="E17" s="29">
        <f>B17+C17+D17</f>
        <v>669800</v>
      </c>
      <c r="F17" s="30" t="s">
        <v>14</v>
      </c>
      <c r="G17" s="125"/>
      <c r="L17" s="10"/>
      <c r="P17" s="84"/>
    </row>
    <row r="18" spans="1:16">
      <c r="B18" s="23"/>
      <c r="C18" s="23"/>
      <c r="D18" s="23"/>
      <c r="E18" s="23"/>
      <c r="F18" s="23"/>
      <c r="G18" s="23"/>
      <c r="K18" s="3"/>
      <c r="L18" s="3"/>
      <c r="O18" s="84"/>
    </row>
    <row r="19" spans="1:16">
      <c r="A19" s="4" t="s">
        <v>1</v>
      </c>
      <c r="B19" s="72"/>
      <c r="C19" s="23"/>
      <c r="D19" s="23"/>
      <c r="E19" s="23"/>
      <c r="F19" s="23"/>
      <c r="G19" s="23"/>
      <c r="K19" s="3"/>
      <c r="L19" s="3"/>
      <c r="P19" s="84"/>
    </row>
    <row r="20" spans="1:16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K20" s="3"/>
      <c r="L20" s="3"/>
      <c r="O20" s="84"/>
    </row>
    <row r="21" spans="1:16">
      <c r="A21" s="4" t="s">
        <v>4</v>
      </c>
      <c r="B21" s="29"/>
      <c r="C21" s="29"/>
      <c r="D21" s="29"/>
      <c r="E21" s="29">
        <f>B21+C21+D21</f>
        <v>0</v>
      </c>
      <c r="F21" s="30" t="s">
        <v>14</v>
      </c>
      <c r="G21" s="125"/>
      <c r="K21" s="14"/>
      <c r="L21" s="3"/>
    </row>
    <row r="22" spans="1:16">
      <c r="A22" s="4" t="s">
        <v>5</v>
      </c>
      <c r="B22" s="29"/>
      <c r="C22" s="29"/>
      <c r="D22" s="29"/>
      <c r="E22" s="29">
        <f>B22+C22+D22</f>
        <v>0</v>
      </c>
      <c r="F22" s="30" t="s">
        <v>14</v>
      </c>
      <c r="G22" s="125"/>
      <c r="K22" s="12"/>
      <c r="L22" s="3"/>
      <c r="O22" s="84"/>
    </row>
    <row r="24" spans="1:16" s="42" customFormat="1">
      <c r="B24" s="73" t="s">
        <v>8</v>
      </c>
      <c r="C24" s="73" t="s">
        <v>7</v>
      </c>
      <c r="D24" s="73" t="s">
        <v>6</v>
      </c>
      <c r="E24" s="73" t="s">
        <v>10</v>
      </c>
      <c r="I24" s="47"/>
      <c r="J24" s="11"/>
      <c r="K24" s="47"/>
    </row>
    <row r="25" spans="1:16" s="42" customFormat="1">
      <c r="A25" s="44" t="s">
        <v>19</v>
      </c>
      <c r="B25" s="46">
        <f>(((B11+B12)/2*$G$11+(B16+B17)/2*$G$16+(B21+B22)/2*$G$21))/($G$11+$G$16+$G$21)/$B$5</f>
        <v>429.81048314290922</v>
      </c>
      <c r="C25" s="46">
        <f>(((C11+C12)/2*$G$11+(C16+C17)/2*$G$16+(C21+C22)/2*$G$21)/($G$11+$G$16+$G$21))/$B$5</f>
        <v>30.089865563158945</v>
      </c>
      <c r="D25" s="46">
        <f>(((D11+D12)/2*$G$11+(D16+D17)/2*$G$16+(D21+D22)/2*$G$21)/($G$11+$G$16+$G$21))/$B$5</f>
        <v>17.591136625581548</v>
      </c>
      <c r="E25" s="46">
        <f>(((E11+E12)/2*$G$11+(E16+E17)/2*$G$16+(E21+E22)/2*$G$21)/($G$11+$G$16+$G$21))/$B$5</f>
        <v>477.4914853316497</v>
      </c>
      <c r="H25" s="61"/>
      <c r="I25" s="61"/>
    </row>
    <row r="28" spans="1:16">
      <c r="A28" t="s">
        <v>9</v>
      </c>
      <c r="B28" s="126" t="s">
        <v>120</v>
      </c>
      <c r="C28" s="127"/>
      <c r="D28" s="23"/>
      <c r="E28" s="23"/>
      <c r="F28" s="23"/>
      <c r="G28" s="23"/>
    </row>
    <row r="29" spans="1:16">
      <c r="A29" t="s">
        <v>18</v>
      </c>
      <c r="B29" s="23">
        <v>902.21</v>
      </c>
      <c r="C29" s="23"/>
      <c r="D29" s="23"/>
      <c r="E29" s="23"/>
      <c r="F29" s="23"/>
      <c r="G29" s="23"/>
    </row>
    <row r="30" spans="1:16">
      <c r="A30" t="s">
        <v>11</v>
      </c>
      <c r="B30" s="25">
        <v>43413</v>
      </c>
      <c r="C30" s="23"/>
      <c r="D30" s="23"/>
      <c r="E30" s="23"/>
      <c r="F30" s="23"/>
      <c r="G30" s="23"/>
    </row>
    <row r="31" spans="1:16">
      <c r="A31" t="s">
        <v>12</v>
      </c>
      <c r="B31" s="25">
        <v>43432</v>
      </c>
      <c r="C31" s="23"/>
      <c r="D31" s="23"/>
      <c r="E31" s="23"/>
      <c r="F31" s="23"/>
      <c r="G31" s="23"/>
    </row>
    <row r="32" spans="1:16">
      <c r="B32" s="23"/>
      <c r="C32" s="23"/>
      <c r="D32" s="23"/>
      <c r="E32" s="23"/>
      <c r="F32" s="23"/>
      <c r="G32" s="23"/>
    </row>
    <row r="33" spans="1:12">
      <c r="A33" s="4" t="s">
        <v>1</v>
      </c>
      <c r="B33" s="72" t="s">
        <v>113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264300</v>
      </c>
      <c r="C35" s="29">
        <v>28300</v>
      </c>
      <c r="D35" s="29">
        <v>19428</v>
      </c>
      <c r="E35" s="29">
        <f>B35+C35+D35</f>
        <v>312028</v>
      </c>
      <c r="F35" s="30" t="s">
        <v>14</v>
      </c>
      <c r="G35" s="125">
        <v>9</v>
      </c>
    </row>
    <row r="36" spans="1:12">
      <c r="A36" s="4" t="s">
        <v>5</v>
      </c>
      <c r="B36" s="29">
        <v>544200</v>
      </c>
      <c r="C36" s="29">
        <v>49900</v>
      </c>
      <c r="D36" s="29">
        <v>14764</v>
      </c>
      <c r="E36" s="29">
        <f>B36+C36+D36</f>
        <v>608864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2" t="s">
        <v>119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13</v>
      </c>
      <c r="K39" s="3"/>
    </row>
    <row r="40" spans="1:12">
      <c r="A40" s="4" t="s">
        <v>4</v>
      </c>
      <c r="B40" s="29">
        <v>405800</v>
      </c>
      <c r="C40" s="29">
        <v>28300</v>
      </c>
      <c r="D40" s="29">
        <v>25903</v>
      </c>
      <c r="E40" s="29">
        <f>B40+C40+D40</f>
        <v>460003</v>
      </c>
      <c r="F40" s="30" t="s">
        <v>14</v>
      </c>
      <c r="G40" s="125">
        <v>4</v>
      </c>
      <c r="I40" s="54" t="s">
        <v>61</v>
      </c>
      <c r="J40" s="55">
        <f>(G35*100/(G35+G40+G45))^2+(G40*100/(G35+G40+G45))^2+(G45*100/(G35+G40+G45))^2</f>
        <v>5739.6449704142005</v>
      </c>
      <c r="L40" s="9"/>
    </row>
    <row r="41" spans="1:12">
      <c r="A41" s="4" t="s">
        <v>5</v>
      </c>
      <c r="B41" s="29">
        <v>405800</v>
      </c>
      <c r="C41" s="29">
        <v>28300</v>
      </c>
      <c r="D41" s="29">
        <v>25903</v>
      </c>
      <c r="E41" s="29">
        <f>B41+C41+D41</f>
        <v>460003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2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8" spans="1:12" s="42" customFormat="1">
      <c r="B48" s="73" t="s">
        <v>8</v>
      </c>
      <c r="C48" s="73" t="s">
        <v>7</v>
      </c>
      <c r="D48" s="73" t="s">
        <v>6</v>
      </c>
      <c r="E48" s="73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(((B35+B36)/2*$G$35+(B40+B41)/2*$G$40+(B45+B46)/2*$G$45))/(J$39)/$B$29</f>
        <v>448.59503117558336</v>
      </c>
      <c r="C49" s="46">
        <f>(((C35+C36)/2*$G$35+(C40+C41)/2*$G$40+(C45+C46)/2*$G$45))/($J$39)/$B$29</f>
        <v>39.65476228031509</v>
      </c>
      <c r="D49" s="46">
        <f>(((D35+D36)/2*$G$35+(D40+D41)/2*$G$40+(D45+D46)/2*$G$45))/($J$39)/$B$29</f>
        <v>21.952589922353056</v>
      </c>
      <c r="E49" s="46">
        <f>B49+C49+D49</f>
        <v>510.20238337825151</v>
      </c>
      <c r="H49" s="61"/>
      <c r="I49" s="61"/>
    </row>
    <row r="52" spans="1:12">
      <c r="A52" t="s">
        <v>9</v>
      </c>
      <c r="B52" s="126" t="s">
        <v>121</v>
      </c>
      <c r="C52" s="127"/>
      <c r="D52" s="23"/>
      <c r="E52" s="23"/>
      <c r="F52" s="23"/>
      <c r="G52" s="23"/>
    </row>
    <row r="53" spans="1:12">
      <c r="A53" t="s">
        <v>18</v>
      </c>
      <c r="B53" s="23">
        <v>420.4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2" t="s">
        <v>105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242200</v>
      </c>
      <c r="C59" s="29">
        <v>28300</v>
      </c>
      <c r="D59" s="29">
        <v>20312</v>
      </c>
      <c r="E59" s="29">
        <f>B59+C59+D59</f>
        <v>290812</v>
      </c>
      <c r="F59" s="30" t="s">
        <v>14</v>
      </c>
      <c r="G59" s="125">
        <v>10</v>
      </c>
    </row>
    <row r="60" spans="1:12">
      <c r="A60" s="4" t="s">
        <v>5</v>
      </c>
      <c r="B60" s="29">
        <v>676300</v>
      </c>
      <c r="C60" s="29">
        <v>28300</v>
      </c>
      <c r="D60" s="29">
        <v>16196</v>
      </c>
      <c r="E60" s="29">
        <f>B60+C60+D60</f>
        <v>720796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2" t="s">
        <v>119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</f>
        <v>13</v>
      </c>
      <c r="K63" s="3"/>
    </row>
    <row r="64" spans="1:12">
      <c r="A64" s="4" t="s">
        <v>4</v>
      </c>
      <c r="B64" s="29">
        <v>248500</v>
      </c>
      <c r="C64" s="29">
        <v>28300</v>
      </c>
      <c r="D64" s="29">
        <v>27515</v>
      </c>
      <c r="E64" s="29">
        <f>B64+C64+D64</f>
        <v>304315</v>
      </c>
      <c r="F64" s="30" t="s">
        <v>14</v>
      </c>
      <c r="G64" s="125">
        <v>3</v>
      </c>
      <c r="I64" s="54" t="s">
        <v>61</v>
      </c>
      <c r="J64" s="55">
        <f>(G59*100/(G59+G64+G69))^2+(G64*100/(G59+G64+G69))^2+(G69*100/(G59+G64+G69))^2</f>
        <v>6449.7041420118339</v>
      </c>
      <c r="L64" s="9"/>
    </row>
    <row r="65" spans="1:12">
      <c r="A65" s="4" t="s">
        <v>5</v>
      </c>
      <c r="B65" s="29">
        <v>405800</v>
      </c>
      <c r="C65" s="29">
        <v>28300</v>
      </c>
      <c r="D65" s="29">
        <v>25942</v>
      </c>
      <c r="E65" s="29">
        <f>B65+C65+D65</f>
        <v>460042</v>
      </c>
      <c r="F65" s="30" t="s">
        <v>14</v>
      </c>
      <c r="G65" s="125"/>
      <c r="L65" s="10"/>
    </row>
    <row r="66" spans="1:12">
      <c r="B66" s="23"/>
      <c r="C66" s="23"/>
      <c r="D66" s="23"/>
      <c r="E66" s="23"/>
      <c r="F66" s="23"/>
      <c r="G66" s="23"/>
      <c r="K66" s="3"/>
      <c r="L66" s="3"/>
    </row>
    <row r="67" spans="1:12">
      <c r="A67" s="4" t="s">
        <v>1</v>
      </c>
      <c r="B67" s="72"/>
      <c r="C67" s="23"/>
      <c r="D67" s="23"/>
      <c r="E67" s="23"/>
      <c r="F67" s="23"/>
      <c r="G67" s="23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K68" s="3"/>
      <c r="L68" s="3"/>
    </row>
    <row r="69" spans="1:12">
      <c r="A69" s="4" t="s">
        <v>4</v>
      </c>
      <c r="B69" s="29"/>
      <c r="C69" s="29"/>
      <c r="D69" s="29"/>
      <c r="E69" s="29">
        <f>B69+C69+D69</f>
        <v>0</v>
      </c>
      <c r="F69" s="30" t="s">
        <v>14</v>
      </c>
      <c r="G69" s="125"/>
      <c r="K69" s="14"/>
      <c r="L69" s="3"/>
    </row>
    <row r="70" spans="1:12">
      <c r="A70" s="4" t="s">
        <v>5</v>
      </c>
      <c r="B70" s="29"/>
      <c r="C70" s="29"/>
      <c r="D70" s="29"/>
      <c r="E70" s="29">
        <f>B70+C70+D70</f>
        <v>0</v>
      </c>
      <c r="F70" s="30" t="s">
        <v>14</v>
      </c>
      <c r="G70" s="125"/>
      <c r="K70" s="12"/>
      <c r="L70" s="3"/>
    </row>
    <row r="72" spans="1:12" s="42" customFormat="1">
      <c r="B72" s="73" t="s">
        <v>8</v>
      </c>
      <c r="C72" s="73" t="s">
        <v>7</v>
      </c>
      <c r="D72" s="73" t="s">
        <v>6</v>
      </c>
      <c r="E72" s="73" t="s">
        <v>10</v>
      </c>
      <c r="I72" s="47"/>
      <c r="J72" s="11"/>
      <c r="K72" s="47"/>
    </row>
    <row r="73" spans="1:12" s="42" customFormat="1">
      <c r="A73" s="44" t="s">
        <v>19</v>
      </c>
      <c r="B73" s="46">
        <f>(((B59+B60)/2*$G$59+(B64+B65)/2*$G$64+(B69+B70)/2*$G$69))/($J$63)/$B$53</f>
        <v>1019.8986313401157</v>
      </c>
      <c r="C73" s="46">
        <f t="shared" ref="C73:D73" si="0">(((C59+C60)/2*$G$59+(C64+C65)/2*$G$64+(C69+C70)/2*$G$69))/($J$63)/$B$53</f>
        <v>67.316841103710757</v>
      </c>
      <c r="D73" s="46">
        <f t="shared" si="0"/>
        <v>48.072440166874046</v>
      </c>
      <c r="E73" s="46">
        <f>B73+C73+D73</f>
        <v>1135.2879126107005</v>
      </c>
      <c r="H73" s="61"/>
      <c r="I73" s="61"/>
    </row>
    <row r="76" spans="1:12">
      <c r="A76" t="s">
        <v>9</v>
      </c>
      <c r="B76" s="126" t="s">
        <v>160</v>
      </c>
      <c r="C76" s="127"/>
      <c r="D76" s="23"/>
      <c r="E76" s="23"/>
      <c r="F76" s="23"/>
      <c r="G76" s="23"/>
    </row>
    <row r="77" spans="1:12">
      <c r="A77" t="s">
        <v>18</v>
      </c>
      <c r="B77" s="23">
        <v>2173</v>
      </c>
      <c r="C77" s="23"/>
      <c r="D77" s="23"/>
      <c r="E77" s="23"/>
      <c r="F77" s="23"/>
      <c r="G77" s="23"/>
    </row>
    <row r="78" spans="1:12">
      <c r="A78" t="s">
        <v>11</v>
      </c>
      <c r="B78" s="25">
        <v>43413</v>
      </c>
      <c r="C78" s="23"/>
      <c r="D78" s="23"/>
      <c r="E78" s="23"/>
      <c r="F78" s="23"/>
      <c r="G78" s="23"/>
    </row>
    <row r="79" spans="1:12">
      <c r="A79" t="s">
        <v>12</v>
      </c>
      <c r="B79" s="25">
        <v>43432</v>
      </c>
      <c r="C79" s="23"/>
      <c r="D79" s="23"/>
      <c r="E79" s="23"/>
      <c r="F79" s="23"/>
      <c r="G79" s="23"/>
    </row>
    <row r="80" spans="1:12">
      <c r="B80" s="23"/>
      <c r="C80" s="23"/>
      <c r="D80" s="23"/>
      <c r="E80" s="23"/>
      <c r="F80" s="23"/>
      <c r="G80" s="23"/>
    </row>
    <row r="81" spans="1:12">
      <c r="A81" s="4" t="s">
        <v>1</v>
      </c>
      <c r="B81" s="72" t="s">
        <v>105</v>
      </c>
      <c r="C81" s="23"/>
      <c r="D81" s="23"/>
      <c r="E81" s="23"/>
      <c r="F81" s="23"/>
      <c r="G81" s="23"/>
    </row>
    <row r="82" spans="1:12">
      <c r="A82" s="4" t="s">
        <v>3</v>
      </c>
      <c r="B82" s="28" t="s">
        <v>8</v>
      </c>
      <c r="C82" s="28" t="s">
        <v>7</v>
      </c>
      <c r="D82" s="28" t="s">
        <v>6</v>
      </c>
      <c r="E82" s="28" t="s">
        <v>10</v>
      </c>
      <c r="F82" s="28" t="s">
        <v>13</v>
      </c>
      <c r="G82" s="28" t="s">
        <v>15</v>
      </c>
    </row>
    <row r="83" spans="1:12">
      <c r="A83" s="4" t="s">
        <v>4</v>
      </c>
      <c r="B83" s="29">
        <v>393200</v>
      </c>
      <c r="C83" s="29">
        <v>28300</v>
      </c>
      <c r="D83" s="29">
        <v>14272</v>
      </c>
      <c r="E83" s="29">
        <f>B83+C83+D83</f>
        <v>435772</v>
      </c>
      <c r="F83" s="30" t="s">
        <v>14</v>
      </c>
      <c r="G83" s="125">
        <v>9</v>
      </c>
    </row>
    <row r="84" spans="1:12">
      <c r="A84" s="4" t="s">
        <v>5</v>
      </c>
      <c r="B84" s="29">
        <v>1038000</v>
      </c>
      <c r="C84" s="29">
        <v>28300</v>
      </c>
      <c r="D84" s="29">
        <v>23892</v>
      </c>
      <c r="E84" s="29">
        <f>B84+C84+D84</f>
        <v>1090192</v>
      </c>
      <c r="F84" s="30" t="s">
        <v>14</v>
      </c>
      <c r="G84" s="125"/>
    </row>
    <row r="85" spans="1:12">
      <c r="B85" s="23"/>
      <c r="C85" s="23"/>
      <c r="D85" s="23"/>
      <c r="E85" s="23"/>
      <c r="F85" s="23"/>
      <c r="G85" s="23"/>
      <c r="K85" s="82"/>
    </row>
    <row r="86" spans="1:12">
      <c r="A86" s="4" t="s">
        <v>1</v>
      </c>
      <c r="B86" s="72" t="s">
        <v>123</v>
      </c>
      <c r="C86" s="23"/>
      <c r="D86" s="23"/>
      <c r="E86" s="23"/>
      <c r="F86" s="23"/>
      <c r="G86" s="23"/>
      <c r="K86" s="2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  <c r="I87" s="57" t="s">
        <v>63</v>
      </c>
      <c r="J87" s="12">
        <f>G83+G88+G93</f>
        <v>13</v>
      </c>
      <c r="K87" s="3"/>
    </row>
    <row r="88" spans="1:12">
      <c r="A88" s="4" t="s">
        <v>4</v>
      </c>
      <c r="B88" s="29">
        <v>490700</v>
      </c>
      <c r="C88" s="29">
        <v>28300</v>
      </c>
      <c r="D88" s="29">
        <v>27908</v>
      </c>
      <c r="E88" s="29">
        <f>B88+C88+D88</f>
        <v>546908</v>
      </c>
      <c r="F88" s="30" t="s">
        <v>14</v>
      </c>
      <c r="G88" s="125">
        <v>4</v>
      </c>
      <c r="I88" s="54" t="s">
        <v>61</v>
      </c>
      <c r="J88" s="55">
        <f>(G83*100/(G83+G88+G93))^2+(G88*100/(G83+G88+G93))^2+(G93*100/(G83+G88+G93))^2</f>
        <v>5739.6449704142005</v>
      </c>
      <c r="L88" s="9"/>
    </row>
    <row r="89" spans="1:12">
      <c r="A89" s="4" t="s">
        <v>5</v>
      </c>
      <c r="B89" s="29">
        <v>833600</v>
      </c>
      <c r="C89" s="29">
        <v>56600</v>
      </c>
      <c r="D89" s="29">
        <v>47954</v>
      </c>
      <c r="E89" s="29">
        <f>B89+C89+D89</f>
        <v>938154</v>
      </c>
      <c r="F89" s="30" t="s">
        <v>14</v>
      </c>
      <c r="G89" s="125"/>
      <c r="L89" s="10"/>
    </row>
    <row r="90" spans="1:12">
      <c r="B90" s="23"/>
      <c r="C90" s="23"/>
      <c r="D90" s="23"/>
      <c r="E90" s="23"/>
      <c r="F90" s="23"/>
      <c r="G90" s="23"/>
      <c r="K90" s="3"/>
      <c r="L90" s="3"/>
    </row>
    <row r="91" spans="1:12">
      <c r="A91" s="4" t="s">
        <v>1</v>
      </c>
      <c r="B91" s="72"/>
      <c r="C91" s="23"/>
      <c r="D91" s="23"/>
      <c r="E91" s="23"/>
      <c r="F91" s="23"/>
      <c r="G91" s="23"/>
      <c r="K91" s="3"/>
      <c r="L91" s="3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K92" s="3"/>
      <c r="L92" s="3"/>
    </row>
    <row r="93" spans="1:12">
      <c r="A93" s="4" t="s">
        <v>4</v>
      </c>
      <c r="B93" s="29"/>
      <c r="C93" s="29"/>
      <c r="D93" s="29"/>
      <c r="E93" s="29">
        <f>B93+C93+D93</f>
        <v>0</v>
      </c>
      <c r="F93" s="30" t="s">
        <v>14</v>
      </c>
      <c r="G93" s="125"/>
      <c r="K93" s="14"/>
      <c r="L93" s="3"/>
    </row>
    <row r="94" spans="1:12">
      <c r="A94" s="4" t="s">
        <v>5</v>
      </c>
      <c r="B94" s="29"/>
      <c r="C94" s="29"/>
      <c r="D94" s="29"/>
      <c r="E94" s="29">
        <f>B94+C94+D94</f>
        <v>0</v>
      </c>
      <c r="F94" s="30" t="s">
        <v>14</v>
      </c>
      <c r="G94" s="125"/>
      <c r="K94" s="12"/>
      <c r="L94" s="3"/>
    </row>
    <row r="96" spans="1:12" s="42" customFormat="1">
      <c r="B96" s="73" t="s">
        <v>8</v>
      </c>
      <c r="C96" s="73" t="s">
        <v>7</v>
      </c>
      <c r="D96" s="73" t="s">
        <v>6</v>
      </c>
      <c r="E96" s="73" t="s">
        <v>10</v>
      </c>
      <c r="I96" s="47"/>
      <c r="J96" s="11"/>
      <c r="K96" s="47"/>
    </row>
    <row r="97" spans="1:12" s="42" customFormat="1">
      <c r="A97" s="44" t="s">
        <v>19</v>
      </c>
      <c r="B97" s="46">
        <f>(((B83+B84)/2*$G$83+(B88+B89)/2*$G$88+(B93+B94)/2*$G$93))/($J$87)/$B$77</f>
        <v>321.74590250982334</v>
      </c>
      <c r="C97" s="46">
        <f t="shared" ref="C97:D97" si="1">(((C83+C84)/2*$G$83+(C88+C89)/2*$G$88+(C93+C94)/2*$G$93))/($J$87)/$B$77</f>
        <v>15.027080604623173</v>
      </c>
      <c r="D97" s="46">
        <f t="shared" si="1"/>
        <v>11.450387624340685</v>
      </c>
      <c r="E97" s="46">
        <f>B97+C97+D97</f>
        <v>348.2233707387872</v>
      </c>
      <c r="H97" s="61"/>
      <c r="I97" s="61"/>
    </row>
    <row r="100" spans="1:12">
      <c r="A100" t="s">
        <v>9</v>
      </c>
      <c r="B100" s="126" t="s">
        <v>124</v>
      </c>
      <c r="C100" s="127"/>
      <c r="D100" s="85"/>
      <c r="E100" s="85"/>
      <c r="F100" s="86"/>
      <c r="G100" s="23"/>
    </row>
    <row r="101" spans="1:12">
      <c r="A101" t="s">
        <v>18</v>
      </c>
      <c r="B101" s="23">
        <v>468.4</v>
      </c>
      <c r="C101" s="23"/>
      <c r="D101" s="23"/>
      <c r="E101" s="23"/>
      <c r="F101" s="23"/>
      <c r="G101" s="23"/>
    </row>
    <row r="102" spans="1:12">
      <c r="A102" t="s">
        <v>11</v>
      </c>
      <c r="B102" s="25">
        <v>43413</v>
      </c>
      <c r="C102" s="23"/>
      <c r="D102" s="23"/>
      <c r="E102" s="23"/>
      <c r="F102" s="23"/>
      <c r="G102" s="23"/>
    </row>
    <row r="103" spans="1:12">
      <c r="A103" t="s">
        <v>12</v>
      </c>
      <c r="B103" s="25">
        <v>43432</v>
      </c>
      <c r="C103" s="23"/>
      <c r="D103" s="23"/>
      <c r="E103" s="23"/>
      <c r="F103" s="23"/>
      <c r="G103" s="23"/>
    </row>
    <row r="104" spans="1:12">
      <c r="B104" s="23"/>
      <c r="C104" s="23"/>
      <c r="D104" s="23"/>
      <c r="E104" s="23"/>
      <c r="F104" s="23"/>
      <c r="G104" s="23"/>
    </row>
    <row r="105" spans="1:12">
      <c r="A105" s="4" t="s">
        <v>1</v>
      </c>
      <c r="B105" s="72" t="s">
        <v>105</v>
      </c>
      <c r="C105" s="23"/>
      <c r="D105" s="23"/>
      <c r="E105" s="23"/>
      <c r="F105" s="23"/>
      <c r="G105" s="23"/>
    </row>
    <row r="106" spans="1:12">
      <c r="A106" s="4" t="s">
        <v>3</v>
      </c>
      <c r="B106" s="28" t="s">
        <v>8</v>
      </c>
      <c r="C106" s="28" t="s">
        <v>7</v>
      </c>
      <c r="D106" s="28" t="s">
        <v>6</v>
      </c>
      <c r="E106" s="28" t="s">
        <v>10</v>
      </c>
      <c r="F106" s="28" t="s">
        <v>13</v>
      </c>
      <c r="G106" s="28" t="s">
        <v>15</v>
      </c>
    </row>
    <row r="107" spans="1:12">
      <c r="A107" s="4" t="s">
        <v>4</v>
      </c>
      <c r="B107" s="29">
        <v>207600</v>
      </c>
      <c r="C107" s="29">
        <v>28300</v>
      </c>
      <c r="D107" s="29">
        <v>21696</v>
      </c>
      <c r="E107" s="29">
        <f>B107+C107+D107</f>
        <v>257596</v>
      </c>
      <c r="F107" s="30" t="s">
        <v>14</v>
      </c>
      <c r="G107" s="125">
        <v>4</v>
      </c>
    </row>
    <row r="108" spans="1:12">
      <c r="A108" s="4" t="s">
        <v>5</v>
      </c>
      <c r="B108" s="29">
        <v>270600</v>
      </c>
      <c r="C108" s="29">
        <v>28300</v>
      </c>
      <c r="D108" s="29">
        <v>19176</v>
      </c>
      <c r="E108" s="29">
        <f>B108+C108+D108</f>
        <v>318076</v>
      </c>
      <c r="F108" s="30" t="s">
        <v>14</v>
      </c>
      <c r="G108" s="125"/>
    </row>
    <row r="109" spans="1:12">
      <c r="B109" s="23"/>
      <c r="C109" s="23"/>
      <c r="D109" s="23"/>
      <c r="E109" s="23"/>
      <c r="F109" s="23"/>
      <c r="G109" s="23"/>
      <c r="K109" s="82"/>
    </row>
    <row r="110" spans="1:12">
      <c r="A110" s="4" t="s">
        <v>1</v>
      </c>
      <c r="B110" s="72" t="s">
        <v>123</v>
      </c>
      <c r="C110" s="23"/>
      <c r="D110" s="23"/>
      <c r="E110" s="23"/>
      <c r="F110" s="23"/>
      <c r="G110" s="23"/>
      <c r="K110" s="2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  <c r="I111" s="57" t="s">
        <v>63</v>
      </c>
      <c r="J111" s="12">
        <f>G107+G112+G117</f>
        <v>7</v>
      </c>
      <c r="K111" s="3"/>
    </row>
    <row r="112" spans="1:12">
      <c r="A112" s="4" t="s">
        <v>4</v>
      </c>
      <c r="B112" s="29">
        <v>242200</v>
      </c>
      <c r="C112" s="29">
        <v>28300</v>
      </c>
      <c r="D112" s="29">
        <v>27578</v>
      </c>
      <c r="E112" s="29">
        <f>B112+C112+D112</f>
        <v>298078</v>
      </c>
      <c r="F112" s="30" t="s">
        <v>14</v>
      </c>
      <c r="G112" s="125">
        <v>3</v>
      </c>
      <c r="I112" s="54" t="s">
        <v>61</v>
      </c>
      <c r="J112" s="55">
        <f>(G107*100/(G107+G112+G117))^2+(G112*100/(G107+G112+G117))^2+(G117*100/(G107+G112+G117))^2</f>
        <v>5102.0408163265311</v>
      </c>
      <c r="L112" s="9"/>
    </row>
    <row r="113" spans="1:12">
      <c r="A113" s="4" t="s">
        <v>5</v>
      </c>
      <c r="B113" s="29">
        <v>242200</v>
      </c>
      <c r="C113" s="29">
        <v>28300</v>
      </c>
      <c r="D113" s="29">
        <v>27578</v>
      </c>
      <c r="E113" s="29">
        <f>B113+C113+D113</f>
        <v>298078</v>
      </c>
      <c r="F113" s="30" t="s">
        <v>14</v>
      </c>
      <c r="G113" s="125"/>
      <c r="L113" s="10"/>
    </row>
    <row r="114" spans="1:12">
      <c r="B114" s="23"/>
      <c r="C114" s="23"/>
      <c r="D114" s="23"/>
      <c r="E114" s="23"/>
      <c r="F114" s="23"/>
      <c r="G114" s="23"/>
      <c r="K114" s="3"/>
      <c r="L114" s="3"/>
    </row>
    <row r="115" spans="1:12">
      <c r="A115" s="4" t="s">
        <v>1</v>
      </c>
      <c r="B115" s="72"/>
      <c r="C115" s="23"/>
      <c r="D115" s="23"/>
      <c r="E115" s="23"/>
      <c r="F115" s="23"/>
      <c r="G115" s="23"/>
      <c r="K115" s="3"/>
      <c r="L115" s="3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K116" s="3"/>
      <c r="L116" s="3"/>
    </row>
    <row r="117" spans="1:12">
      <c r="A117" s="4" t="s">
        <v>4</v>
      </c>
      <c r="B117" s="29"/>
      <c r="C117" s="29"/>
      <c r="D117" s="29"/>
      <c r="E117" s="29">
        <f>B117+C117+D117</f>
        <v>0</v>
      </c>
      <c r="F117" s="30" t="s">
        <v>14</v>
      </c>
      <c r="G117" s="125"/>
      <c r="K117" s="14"/>
      <c r="L117" s="3"/>
    </row>
    <row r="118" spans="1:12">
      <c r="A118" s="4" t="s">
        <v>5</v>
      </c>
      <c r="B118" s="29"/>
      <c r="C118" s="29"/>
      <c r="D118" s="29"/>
      <c r="E118" s="29">
        <f>B118+C118+D118</f>
        <v>0</v>
      </c>
      <c r="F118" s="30" t="s">
        <v>14</v>
      </c>
      <c r="G118" s="125"/>
      <c r="K118" s="12"/>
      <c r="L118" s="3"/>
    </row>
    <row r="120" spans="1:12" s="42" customFormat="1">
      <c r="B120" s="73" t="s">
        <v>8</v>
      </c>
      <c r="C120" s="73" t="s">
        <v>7</v>
      </c>
      <c r="D120" s="73" t="s">
        <v>6</v>
      </c>
      <c r="E120" s="73" t="s">
        <v>10</v>
      </c>
      <c r="I120" s="47"/>
      <c r="J120" s="11"/>
      <c r="K120" s="47"/>
    </row>
    <row r="121" spans="1:12" s="42" customFormat="1">
      <c r="A121" s="44" t="s">
        <v>19</v>
      </c>
      <c r="B121" s="46">
        <f>(((B107+B108)/2*$G$107+(B112+B113)/2*$G$112+(B117+B118)/2*$G$117))/($J$111)/$B$101</f>
        <v>513.29754788337198</v>
      </c>
      <c r="C121" s="46">
        <f t="shared" ref="C121:D121" si="2">(((C107+C108)/2*$G$107+(C112+C113)/2*$G$112+(C117+C118)/2*$G$117))/($J$111)/$B$101</f>
        <v>60.418445772843725</v>
      </c>
      <c r="D121" s="46">
        <f t="shared" si="2"/>
        <v>50.164084421129679</v>
      </c>
      <c r="E121" s="46">
        <f>B121+C121+D121</f>
        <v>623.88007807734539</v>
      </c>
      <c r="H121" s="61"/>
      <c r="I121" s="61"/>
    </row>
    <row r="124" spans="1:12" s="42" customFormat="1" ht="30">
      <c r="A124" s="74" t="s">
        <v>125</v>
      </c>
      <c r="B124" s="67" t="s">
        <v>78</v>
      </c>
      <c r="C124" s="67" t="s">
        <v>80</v>
      </c>
      <c r="D124" s="44" t="s">
        <v>81</v>
      </c>
      <c r="E124" s="67" t="s">
        <v>79</v>
      </c>
    </row>
    <row r="125" spans="1:12" s="42" customFormat="1">
      <c r="A125" s="56">
        <f>(J15*J16+J39*J40+J63*J64+J87*J88+J111*J112)/(J15+J39+J63+J87+J111)</f>
        <v>5640.9563971000644</v>
      </c>
      <c r="B125" s="63">
        <f>(B25*$J$15+B49*$J$39+B73*$J$63+B97*$J$87+B121*$J$111)/($J$15+$J$39+$J$63+$J$87+$J$111)</f>
        <v>532.63533757684502</v>
      </c>
      <c r="C125" s="63">
        <f>(C25*$J$15+C49*$J$39+C73*$J$63+C97*$J$87+C121*$J$111)/($J$15+$J$39+$J$63+$J$87+$J$111)</f>
        <v>39.144622032101431</v>
      </c>
      <c r="D125" s="63">
        <f t="shared" ref="D125" si="3">(D25*$J$15+D49*$J$39+D73*$J$63+D97*$J$87+D121*$J$111)/($J$15+$J$39+$J$63+$J$87+$J$111)</f>
        <v>26.303263240763254</v>
      </c>
      <c r="E125" s="63">
        <f>B125+C125+D125</f>
        <v>598.08322284970973</v>
      </c>
    </row>
    <row r="126" spans="1:12" s="42" customFormat="1"/>
    <row r="127" spans="1:12" s="42" customFormat="1">
      <c r="A127" s="44" t="s">
        <v>83</v>
      </c>
      <c r="B127" s="68">
        <f>C125/E125</f>
        <v>6.5450125562104167E-2</v>
      </c>
    </row>
  </sheetData>
  <mergeCells count="20">
    <mergeCell ref="G112:G113"/>
    <mergeCell ref="G117:G118"/>
    <mergeCell ref="B76:C76"/>
    <mergeCell ref="G83:G84"/>
    <mergeCell ref="G88:G89"/>
    <mergeCell ref="G93:G94"/>
    <mergeCell ref="B100:C100"/>
    <mergeCell ref="G107:G108"/>
    <mergeCell ref="G69:G70"/>
    <mergeCell ref="B4:C4"/>
    <mergeCell ref="G11:G12"/>
    <mergeCell ref="G16:G17"/>
    <mergeCell ref="G21:G22"/>
    <mergeCell ref="B28:C28"/>
    <mergeCell ref="G35:G36"/>
    <mergeCell ref="G40:G41"/>
    <mergeCell ref="G45:G46"/>
    <mergeCell ref="B52:C52"/>
    <mergeCell ref="G59:G60"/>
    <mergeCell ref="G64:G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127"/>
  <sheetViews>
    <sheetView topLeftCell="A103" workbookViewId="0">
      <selection activeCell="A125" sqref="A125"/>
    </sheetView>
  </sheetViews>
  <sheetFormatPr baseColWidth="10" defaultRowHeight="15"/>
  <cols>
    <col min="1" max="1" width="19.42578125" bestFit="1" customWidth="1"/>
    <col min="7" max="7" width="16.140625" bestFit="1" customWidth="1"/>
  </cols>
  <sheetData>
    <row r="2" spans="1:16">
      <c r="A2" t="s">
        <v>116</v>
      </c>
      <c r="B2" t="s">
        <v>117</v>
      </c>
    </row>
    <row r="4" spans="1:16">
      <c r="A4" t="s">
        <v>9</v>
      </c>
      <c r="B4" s="126" t="s">
        <v>118</v>
      </c>
      <c r="C4" s="127"/>
      <c r="D4" s="23"/>
      <c r="E4" s="23"/>
      <c r="F4" s="23"/>
      <c r="G4" s="23"/>
    </row>
    <row r="5" spans="1:16">
      <c r="A5" t="s">
        <v>18</v>
      </c>
      <c r="B5" s="23">
        <v>1124.53</v>
      </c>
      <c r="C5" s="23"/>
      <c r="D5" s="23"/>
      <c r="E5" s="23"/>
      <c r="F5" s="23"/>
      <c r="G5" s="23"/>
    </row>
    <row r="6" spans="1:16">
      <c r="A6" t="s">
        <v>11</v>
      </c>
      <c r="B6" s="25">
        <v>43413</v>
      </c>
      <c r="C6" s="23"/>
      <c r="D6" s="23"/>
      <c r="E6" s="23"/>
      <c r="F6" s="23"/>
      <c r="G6" s="23"/>
    </row>
    <row r="7" spans="1:16">
      <c r="A7" t="s">
        <v>12</v>
      </c>
      <c r="B7" s="25">
        <v>43432</v>
      </c>
      <c r="C7" s="23"/>
      <c r="D7" s="23"/>
      <c r="E7" s="23"/>
      <c r="F7" s="23"/>
      <c r="G7" s="23"/>
    </row>
    <row r="8" spans="1:16">
      <c r="B8" s="23"/>
      <c r="C8" s="23"/>
      <c r="D8" s="23"/>
      <c r="E8" s="23"/>
      <c r="F8" s="23"/>
      <c r="G8" s="23"/>
    </row>
    <row r="9" spans="1:16">
      <c r="A9" s="4" t="s">
        <v>1</v>
      </c>
      <c r="B9" s="76" t="s">
        <v>105</v>
      </c>
      <c r="C9" s="23"/>
      <c r="D9" s="23"/>
      <c r="E9" s="23"/>
      <c r="F9" s="23"/>
      <c r="G9" s="23"/>
    </row>
    <row r="10" spans="1:16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6">
      <c r="A11" s="4" t="s">
        <v>4</v>
      </c>
      <c r="B11" s="29">
        <v>412100</v>
      </c>
      <c r="C11" s="29">
        <v>28300</v>
      </c>
      <c r="D11" s="29">
        <v>13516</v>
      </c>
      <c r="E11" s="29">
        <f>B11+C11+D11</f>
        <v>453916</v>
      </c>
      <c r="F11" s="30" t="s">
        <v>14</v>
      </c>
      <c r="G11" s="125">
        <v>14</v>
      </c>
      <c r="K11" s="9"/>
    </row>
    <row r="12" spans="1:16">
      <c r="A12" s="4" t="s">
        <v>5</v>
      </c>
      <c r="B12" s="29">
        <v>512700</v>
      </c>
      <c r="C12" s="29">
        <v>28300</v>
      </c>
      <c r="D12" s="29">
        <v>12715</v>
      </c>
      <c r="E12" s="29">
        <f>B12+C12+D12</f>
        <v>553715</v>
      </c>
      <c r="F12" s="30" t="s">
        <v>14</v>
      </c>
      <c r="G12" s="125"/>
      <c r="K12" s="10"/>
    </row>
    <row r="13" spans="1:16">
      <c r="B13" s="23"/>
      <c r="C13" s="23"/>
      <c r="D13" s="23"/>
      <c r="E13" s="23"/>
      <c r="F13" s="23"/>
      <c r="G13" s="23"/>
      <c r="I13" s="3"/>
      <c r="J13" s="3"/>
      <c r="K13" s="12"/>
      <c r="P13" s="83"/>
    </row>
    <row r="14" spans="1:16">
      <c r="A14" s="4" t="s">
        <v>1</v>
      </c>
      <c r="B14" s="76" t="s">
        <v>119</v>
      </c>
      <c r="C14" s="23"/>
      <c r="D14" s="23"/>
      <c r="E14" s="23"/>
      <c r="F14" s="23"/>
      <c r="G14" s="23"/>
      <c r="I14" s="3"/>
      <c r="J14" s="3"/>
      <c r="K14" s="2"/>
      <c r="O14" s="83"/>
    </row>
    <row r="15" spans="1:16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23</v>
      </c>
      <c r="K15" s="3"/>
      <c r="P15" s="84"/>
    </row>
    <row r="16" spans="1:16">
      <c r="A16" s="4" t="s">
        <v>4</v>
      </c>
      <c r="B16" s="29">
        <v>453000</v>
      </c>
      <c r="C16" s="29">
        <v>28300</v>
      </c>
      <c r="D16" s="29">
        <v>25903</v>
      </c>
      <c r="E16" s="29">
        <f>B16+C16+D16</f>
        <v>507203</v>
      </c>
      <c r="F16" s="30" t="s">
        <v>14</v>
      </c>
      <c r="G16" s="125">
        <v>9</v>
      </c>
      <c r="I16" s="54" t="s">
        <v>61</v>
      </c>
      <c r="J16" s="55">
        <f>(G11*100/(G11+G16+G21))^2+(G16*100/(G11+G16+G21))^2+(G21*100/(G11+G16+G21))^2</f>
        <v>5236.2948960302456</v>
      </c>
      <c r="K16" s="3"/>
      <c r="L16" s="9"/>
      <c r="O16" s="84"/>
    </row>
    <row r="17" spans="1:16">
      <c r="A17" s="4" t="s">
        <v>5</v>
      </c>
      <c r="B17" s="29">
        <v>578800</v>
      </c>
      <c r="C17" s="29">
        <v>56600</v>
      </c>
      <c r="D17" s="29">
        <v>34400</v>
      </c>
      <c r="E17" s="29">
        <f>B17+C17+D17</f>
        <v>669800</v>
      </c>
      <c r="F17" s="30" t="s">
        <v>14</v>
      </c>
      <c r="G17" s="125"/>
      <c r="L17" s="10"/>
      <c r="P17" s="84"/>
    </row>
    <row r="18" spans="1:16">
      <c r="B18" s="23"/>
      <c r="C18" s="23"/>
      <c r="D18" s="23"/>
      <c r="E18" s="23"/>
      <c r="F18" s="23"/>
      <c r="G18" s="23"/>
      <c r="K18" s="3"/>
      <c r="L18" s="3"/>
      <c r="O18" s="84"/>
    </row>
    <row r="19" spans="1:16">
      <c r="A19" s="4" t="s">
        <v>1</v>
      </c>
      <c r="B19" s="76"/>
      <c r="C19" s="23"/>
      <c r="D19" s="23"/>
      <c r="E19" s="23"/>
      <c r="F19" s="23"/>
      <c r="G19" s="23"/>
      <c r="K19" s="3"/>
      <c r="L19" s="3"/>
      <c r="P19" s="84"/>
    </row>
    <row r="20" spans="1:16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K20" s="3"/>
      <c r="L20" s="3"/>
      <c r="O20" s="84"/>
    </row>
    <row r="21" spans="1:16">
      <c r="A21" s="4" t="s">
        <v>4</v>
      </c>
      <c r="B21" s="29"/>
      <c r="C21" s="29"/>
      <c r="D21" s="29"/>
      <c r="E21" s="29">
        <f>B21+C21+D21</f>
        <v>0</v>
      </c>
      <c r="F21" s="30" t="s">
        <v>14</v>
      </c>
      <c r="G21" s="125"/>
      <c r="K21" s="14"/>
      <c r="L21" s="3"/>
    </row>
    <row r="22" spans="1:16">
      <c r="A22" s="4" t="s">
        <v>5</v>
      </c>
      <c r="B22" s="29"/>
      <c r="C22" s="29"/>
      <c r="D22" s="29"/>
      <c r="E22" s="29">
        <f>B22+C22+D22</f>
        <v>0</v>
      </c>
      <c r="F22" s="30" t="s">
        <v>14</v>
      </c>
      <c r="G22" s="125"/>
      <c r="K22" s="12"/>
      <c r="L22" s="3"/>
      <c r="O22" s="84"/>
    </row>
    <row r="24" spans="1:16" s="42" customFormat="1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6" s="42" customFormat="1">
      <c r="A25" s="44" t="s">
        <v>19</v>
      </c>
      <c r="B25" s="46">
        <f>(((B11+B12)/2*$G$11+(B16+B17)/2*$G$16+(B21+B22)/2*$G$21))/($G$11+$G$16+$G$21)/$B$5</f>
        <v>429.81048314290922</v>
      </c>
      <c r="C25" s="46">
        <f>(((C11+C12)/2*$G$11+(C16+C17)/2*$G$16+(C21+C22)/2*$G$21)/($G$11+$G$16+$G$21))/$B$5</f>
        <v>30.089865563158945</v>
      </c>
      <c r="D25" s="46">
        <f>(((D11+D12)/2*$G$11+(D16+D17)/2*$G$16+(D21+D22)/2*$G$21)/($G$11+$G$16+$G$21))/$B$5</f>
        <v>17.591136625581548</v>
      </c>
      <c r="E25" s="46">
        <f>(((E11+E12)/2*$G$11+(E16+E17)/2*$G$16+(E21+E22)/2*$G$21)/($G$11+$G$16+$G$21))/$B$5</f>
        <v>477.4914853316497</v>
      </c>
      <c r="H25" s="61"/>
      <c r="I25" s="61"/>
    </row>
    <row r="28" spans="1:16">
      <c r="A28" t="s">
        <v>9</v>
      </c>
      <c r="B28" s="126" t="s">
        <v>120</v>
      </c>
      <c r="C28" s="127"/>
      <c r="D28" s="23"/>
      <c r="E28" s="23"/>
      <c r="F28" s="23"/>
      <c r="G28" s="23"/>
    </row>
    <row r="29" spans="1:16">
      <c r="A29" t="s">
        <v>18</v>
      </c>
      <c r="B29" s="23">
        <v>902.21</v>
      </c>
      <c r="C29" s="23"/>
      <c r="D29" s="23"/>
      <c r="E29" s="23"/>
      <c r="F29" s="23"/>
      <c r="G29" s="23"/>
    </row>
    <row r="30" spans="1:16">
      <c r="A30" t="s">
        <v>11</v>
      </c>
      <c r="B30" s="25">
        <v>43413</v>
      </c>
      <c r="C30" s="23"/>
      <c r="D30" s="23"/>
      <c r="E30" s="23"/>
      <c r="F30" s="23"/>
      <c r="G30" s="23"/>
    </row>
    <row r="31" spans="1:16">
      <c r="A31" t="s">
        <v>12</v>
      </c>
      <c r="B31" s="25">
        <v>43432</v>
      </c>
      <c r="C31" s="23"/>
      <c r="D31" s="23"/>
      <c r="E31" s="23"/>
      <c r="F31" s="23"/>
      <c r="G31" s="23"/>
    </row>
    <row r="32" spans="1:16">
      <c r="B32" s="23"/>
      <c r="C32" s="23"/>
      <c r="D32" s="23"/>
      <c r="E32" s="23"/>
      <c r="F32" s="23"/>
      <c r="G32" s="23"/>
    </row>
    <row r="33" spans="1:12">
      <c r="A33" s="4" t="s">
        <v>1</v>
      </c>
      <c r="B33" s="76" t="s">
        <v>113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264300</v>
      </c>
      <c r="C35" s="29">
        <v>28300</v>
      </c>
      <c r="D35" s="29">
        <v>19428</v>
      </c>
      <c r="E35" s="29">
        <f>B35+C35+D35</f>
        <v>312028</v>
      </c>
      <c r="F35" s="30" t="s">
        <v>14</v>
      </c>
      <c r="G35" s="125">
        <v>9</v>
      </c>
    </row>
    <row r="36" spans="1:12">
      <c r="A36" s="4" t="s">
        <v>5</v>
      </c>
      <c r="B36" s="29">
        <v>544200</v>
      </c>
      <c r="C36" s="29">
        <v>49900</v>
      </c>
      <c r="D36" s="29">
        <v>14764</v>
      </c>
      <c r="E36" s="29">
        <f>B36+C36+D36</f>
        <v>608864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6" t="s">
        <v>119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13</v>
      </c>
      <c r="K39" s="3"/>
    </row>
    <row r="40" spans="1:12">
      <c r="A40" s="4" t="s">
        <v>4</v>
      </c>
      <c r="B40" s="29">
        <v>405800</v>
      </c>
      <c r="C40" s="29">
        <v>28300</v>
      </c>
      <c r="D40" s="29">
        <v>25903</v>
      </c>
      <c r="E40" s="29">
        <f>B40+C40+D40</f>
        <v>460003</v>
      </c>
      <c r="F40" s="30" t="s">
        <v>14</v>
      </c>
      <c r="G40" s="125">
        <v>4</v>
      </c>
      <c r="I40" s="54" t="s">
        <v>61</v>
      </c>
      <c r="J40" s="55">
        <f>(G35*100/(G35+G40+G45))^2+(G40*100/(G35+G40+G45))^2+(G45*100/(G35+G40+G45))^2</f>
        <v>5739.6449704142005</v>
      </c>
      <c r="L40" s="9"/>
    </row>
    <row r="41" spans="1:12">
      <c r="A41" s="4" t="s">
        <v>5</v>
      </c>
      <c r="B41" s="29">
        <v>405800</v>
      </c>
      <c r="C41" s="29">
        <v>28300</v>
      </c>
      <c r="D41" s="29">
        <v>25903</v>
      </c>
      <c r="E41" s="29">
        <f>B41+C41+D41</f>
        <v>460003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6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8" spans="1:12" s="42" customFormat="1">
      <c r="B48" s="78" t="s">
        <v>8</v>
      </c>
      <c r="C48" s="78" t="s">
        <v>7</v>
      </c>
      <c r="D48" s="78" t="s">
        <v>6</v>
      </c>
      <c r="E48" s="78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(((B35+B36)/2*$G$35+(B40+B41)/2*$G$40+(B45+B46)/2*$G$45))/(J$39)/$B$29</f>
        <v>448.59503117558336</v>
      </c>
      <c r="C49" s="46">
        <f>(((C35+C36)/2*$G$35+(C40+C41)/2*$G$40+(C45+C46)/2*$G$45))/($J$39)/$B$29</f>
        <v>39.65476228031509</v>
      </c>
      <c r="D49" s="46">
        <f>(((D35+D36)/2*$G$35+(D40+D41)/2*$G$40+(D45+D46)/2*$G$45))/($J$39)/$B$29</f>
        <v>21.952589922353056</v>
      </c>
      <c r="E49" s="46">
        <f>B49+C49+D49</f>
        <v>510.20238337825151</v>
      </c>
      <c r="H49" s="61"/>
      <c r="I49" s="61"/>
    </row>
    <row r="52" spans="1:12">
      <c r="A52" t="s">
        <v>9</v>
      </c>
      <c r="B52" s="126" t="s">
        <v>121</v>
      </c>
      <c r="C52" s="127"/>
      <c r="D52" s="23"/>
      <c r="E52" s="23"/>
      <c r="F52" s="23"/>
      <c r="G52" s="23"/>
    </row>
    <row r="53" spans="1:12">
      <c r="A53" t="s">
        <v>18</v>
      </c>
      <c r="B53" s="23">
        <v>420.4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6" t="s">
        <v>105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242200</v>
      </c>
      <c r="C59" s="29">
        <v>28300</v>
      </c>
      <c r="D59" s="29">
        <v>20312</v>
      </c>
      <c r="E59" s="29">
        <f>B59+C59+D59</f>
        <v>290812</v>
      </c>
      <c r="F59" s="30" t="s">
        <v>14</v>
      </c>
      <c r="G59" s="125">
        <v>10</v>
      </c>
    </row>
    <row r="60" spans="1:12">
      <c r="A60" s="4" t="s">
        <v>5</v>
      </c>
      <c r="B60" s="29">
        <v>676300</v>
      </c>
      <c r="C60" s="29">
        <v>28300</v>
      </c>
      <c r="D60" s="29">
        <v>16196</v>
      </c>
      <c r="E60" s="29">
        <f>B60+C60+D60</f>
        <v>720796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6" t="s">
        <v>119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</f>
        <v>13</v>
      </c>
      <c r="K63" s="3"/>
    </row>
    <row r="64" spans="1:12">
      <c r="A64" s="4" t="s">
        <v>4</v>
      </c>
      <c r="B64" s="29">
        <v>248500</v>
      </c>
      <c r="C64" s="29">
        <v>28300</v>
      </c>
      <c r="D64" s="29">
        <v>27515</v>
      </c>
      <c r="E64" s="29">
        <f>B64+C64+D64</f>
        <v>304315</v>
      </c>
      <c r="F64" s="30" t="s">
        <v>14</v>
      </c>
      <c r="G64" s="125">
        <v>3</v>
      </c>
      <c r="I64" s="54" t="s">
        <v>61</v>
      </c>
      <c r="J64" s="55">
        <f>(G59*100/(G59+G64+G69))^2+(G64*100/(G59+G64+G69))^2+(G69*100/(G59+G64+G69))^2</f>
        <v>6449.7041420118339</v>
      </c>
      <c r="L64" s="9"/>
    </row>
    <row r="65" spans="1:12">
      <c r="A65" s="4" t="s">
        <v>5</v>
      </c>
      <c r="B65" s="29">
        <v>405800</v>
      </c>
      <c r="C65" s="29">
        <v>28300</v>
      </c>
      <c r="D65" s="29">
        <v>25942</v>
      </c>
      <c r="E65" s="29">
        <f>B65+C65+D65</f>
        <v>460042</v>
      </c>
      <c r="F65" s="30" t="s">
        <v>14</v>
      </c>
      <c r="G65" s="125"/>
      <c r="L65" s="10"/>
    </row>
    <row r="66" spans="1:12">
      <c r="B66" s="23"/>
      <c r="C66" s="23"/>
      <c r="D66" s="23"/>
      <c r="E66" s="23"/>
      <c r="F66" s="23"/>
      <c r="G66" s="23"/>
      <c r="K66" s="3"/>
      <c r="L66" s="3"/>
    </row>
    <row r="67" spans="1:12">
      <c r="A67" s="4" t="s">
        <v>1</v>
      </c>
      <c r="B67" s="76"/>
      <c r="C67" s="23"/>
      <c r="D67" s="23"/>
      <c r="E67" s="23"/>
      <c r="F67" s="23"/>
      <c r="G67" s="23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K68" s="3"/>
      <c r="L68" s="3"/>
    </row>
    <row r="69" spans="1:12">
      <c r="A69" s="4" t="s">
        <v>4</v>
      </c>
      <c r="B69" s="29"/>
      <c r="C69" s="29"/>
      <c r="D69" s="29"/>
      <c r="E69" s="29">
        <f>B69+C69+D69</f>
        <v>0</v>
      </c>
      <c r="F69" s="30" t="s">
        <v>14</v>
      </c>
      <c r="G69" s="125"/>
      <c r="K69" s="14"/>
      <c r="L69" s="3"/>
    </row>
    <row r="70" spans="1:12">
      <c r="A70" s="4" t="s">
        <v>5</v>
      </c>
      <c r="B70" s="29"/>
      <c r="C70" s="29"/>
      <c r="D70" s="29"/>
      <c r="E70" s="29">
        <f>B70+C70+D70</f>
        <v>0</v>
      </c>
      <c r="F70" s="30" t="s">
        <v>14</v>
      </c>
      <c r="G70" s="125"/>
      <c r="K70" s="12"/>
      <c r="L70" s="3"/>
    </row>
    <row r="72" spans="1:12" s="42" customFormat="1">
      <c r="B72" s="78" t="s">
        <v>8</v>
      </c>
      <c r="C72" s="78" t="s">
        <v>7</v>
      </c>
      <c r="D72" s="78" t="s">
        <v>6</v>
      </c>
      <c r="E72" s="78" t="s">
        <v>10</v>
      </c>
      <c r="I72" s="47"/>
      <c r="J72" s="11"/>
      <c r="K72" s="47"/>
    </row>
    <row r="73" spans="1:12" s="42" customFormat="1">
      <c r="A73" s="44" t="s">
        <v>19</v>
      </c>
      <c r="B73" s="46">
        <f>(((B59+B60)/2*$G$59+(B64+B65)/2*$G$64+(B69+B70)/2*$G$69))/($J$63)/$B$53</f>
        <v>1019.8986313401157</v>
      </c>
      <c r="C73" s="46">
        <f t="shared" ref="C73:D73" si="0">(((C59+C60)/2*$G$59+(C64+C65)/2*$G$64+(C69+C70)/2*$G$69))/($J$63)/$B$53</f>
        <v>67.316841103710757</v>
      </c>
      <c r="D73" s="46">
        <f t="shared" si="0"/>
        <v>48.072440166874046</v>
      </c>
      <c r="E73" s="46">
        <f>B73+C73+D73</f>
        <v>1135.2879126107005</v>
      </c>
      <c r="H73" s="61"/>
      <c r="I73" s="61"/>
    </row>
    <row r="76" spans="1:12">
      <c r="A76" t="s">
        <v>9</v>
      </c>
      <c r="B76" s="126" t="s">
        <v>122</v>
      </c>
      <c r="C76" s="127"/>
      <c r="D76" s="23"/>
      <c r="E76" s="23"/>
      <c r="F76" s="23"/>
      <c r="G76" s="23"/>
    </row>
    <row r="77" spans="1:12">
      <c r="A77" t="s">
        <v>18</v>
      </c>
      <c r="B77" s="23">
        <v>2173</v>
      </c>
      <c r="C77" s="23"/>
      <c r="D77" s="23"/>
      <c r="E77" s="23"/>
      <c r="F77" s="23"/>
      <c r="G77" s="23"/>
    </row>
    <row r="78" spans="1:12">
      <c r="A78" t="s">
        <v>11</v>
      </c>
      <c r="B78" s="25">
        <v>43413</v>
      </c>
      <c r="C78" s="23"/>
      <c r="D78" s="23"/>
      <c r="E78" s="23"/>
      <c r="F78" s="23"/>
      <c r="G78" s="23"/>
    </row>
    <row r="79" spans="1:12">
      <c r="A79" t="s">
        <v>12</v>
      </c>
      <c r="B79" s="25">
        <v>43432</v>
      </c>
      <c r="C79" s="23"/>
      <c r="D79" s="23"/>
      <c r="E79" s="23"/>
      <c r="F79" s="23"/>
      <c r="G79" s="23"/>
    </row>
    <row r="80" spans="1:12">
      <c r="B80" s="23"/>
      <c r="C80" s="23"/>
      <c r="D80" s="23"/>
      <c r="E80" s="23"/>
      <c r="F80" s="23"/>
      <c r="G80" s="23"/>
    </row>
    <row r="81" spans="1:12">
      <c r="A81" s="4" t="s">
        <v>1</v>
      </c>
      <c r="B81" s="76" t="s">
        <v>105</v>
      </c>
      <c r="C81" s="23"/>
      <c r="D81" s="23"/>
      <c r="E81" s="23"/>
      <c r="F81" s="23"/>
      <c r="G81" s="23"/>
    </row>
    <row r="82" spans="1:12">
      <c r="A82" s="4" t="s">
        <v>3</v>
      </c>
      <c r="B82" s="28" t="s">
        <v>8</v>
      </c>
      <c r="C82" s="28" t="s">
        <v>7</v>
      </c>
      <c r="D82" s="28" t="s">
        <v>6</v>
      </c>
      <c r="E82" s="28" t="s">
        <v>10</v>
      </c>
      <c r="F82" s="28" t="s">
        <v>13</v>
      </c>
      <c r="G82" s="28" t="s">
        <v>15</v>
      </c>
    </row>
    <row r="83" spans="1:12">
      <c r="A83" s="4" t="s">
        <v>4</v>
      </c>
      <c r="B83" s="29">
        <v>393200</v>
      </c>
      <c r="C83" s="29">
        <v>28300</v>
      </c>
      <c r="D83" s="29">
        <v>14272</v>
      </c>
      <c r="E83" s="29">
        <f>B83+C83+D83</f>
        <v>435772</v>
      </c>
      <c r="F83" s="30" t="s">
        <v>14</v>
      </c>
      <c r="G83" s="125">
        <v>9</v>
      </c>
    </row>
    <row r="84" spans="1:12">
      <c r="A84" s="4" t="s">
        <v>5</v>
      </c>
      <c r="B84" s="29">
        <v>1038000</v>
      </c>
      <c r="C84" s="29">
        <v>28300</v>
      </c>
      <c r="D84" s="29">
        <v>23892</v>
      </c>
      <c r="E84" s="29">
        <f>B84+C84+D84</f>
        <v>1090192</v>
      </c>
      <c r="F84" s="30" t="s">
        <v>14</v>
      </c>
      <c r="G84" s="125"/>
    </row>
    <row r="85" spans="1:12">
      <c r="B85" s="23"/>
      <c r="C85" s="23"/>
      <c r="D85" s="23"/>
      <c r="E85" s="23"/>
      <c r="F85" s="23"/>
      <c r="G85" s="23"/>
      <c r="K85" s="82"/>
    </row>
    <row r="86" spans="1:12">
      <c r="A86" s="4" t="s">
        <v>1</v>
      </c>
      <c r="B86" s="76" t="s">
        <v>123</v>
      </c>
      <c r="C86" s="23"/>
      <c r="D86" s="23"/>
      <c r="E86" s="23"/>
      <c r="F86" s="23"/>
      <c r="G86" s="23"/>
      <c r="K86" s="2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  <c r="I87" s="57" t="s">
        <v>63</v>
      </c>
      <c r="J87" s="12">
        <f>G83+G88+G93</f>
        <v>13</v>
      </c>
      <c r="K87" s="3"/>
    </row>
    <row r="88" spans="1:12">
      <c r="A88" s="4" t="s">
        <v>4</v>
      </c>
      <c r="B88" s="29">
        <v>490700</v>
      </c>
      <c r="C88" s="29">
        <v>28300</v>
      </c>
      <c r="D88" s="29">
        <v>27908</v>
      </c>
      <c r="E88" s="29">
        <f>B88+C88+D88</f>
        <v>546908</v>
      </c>
      <c r="F88" s="30" t="s">
        <v>14</v>
      </c>
      <c r="G88" s="125">
        <v>4</v>
      </c>
      <c r="I88" s="54" t="s">
        <v>61</v>
      </c>
      <c r="J88" s="55">
        <f>(G83*100/(G83+G88+G93))^2+(G88*100/(G83+G88+G93))^2+(G93*100/(G83+G88+G93))^2</f>
        <v>5739.6449704142005</v>
      </c>
      <c r="L88" s="9"/>
    </row>
    <row r="89" spans="1:12">
      <c r="A89" s="4" t="s">
        <v>5</v>
      </c>
      <c r="B89" s="29">
        <v>833600</v>
      </c>
      <c r="C89" s="29">
        <v>56600</v>
      </c>
      <c r="D89" s="29">
        <v>47954</v>
      </c>
      <c r="E89" s="29">
        <f>B89+C89+D89</f>
        <v>938154</v>
      </c>
      <c r="F89" s="30" t="s">
        <v>14</v>
      </c>
      <c r="G89" s="125"/>
      <c r="L89" s="10"/>
    </row>
    <row r="90" spans="1:12">
      <c r="B90" s="23"/>
      <c r="C90" s="23"/>
      <c r="D90" s="23"/>
      <c r="E90" s="23"/>
      <c r="F90" s="23"/>
      <c r="G90" s="23"/>
      <c r="K90" s="3"/>
      <c r="L90" s="3"/>
    </row>
    <row r="91" spans="1:12">
      <c r="A91" s="4" t="s">
        <v>1</v>
      </c>
      <c r="B91" s="76"/>
      <c r="C91" s="23"/>
      <c r="D91" s="23"/>
      <c r="E91" s="23"/>
      <c r="F91" s="23"/>
      <c r="G91" s="23"/>
      <c r="K91" s="3"/>
      <c r="L91" s="3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K92" s="3"/>
      <c r="L92" s="3"/>
    </row>
    <row r="93" spans="1:12">
      <c r="A93" s="4" t="s">
        <v>4</v>
      </c>
      <c r="B93" s="29"/>
      <c r="C93" s="29"/>
      <c r="D93" s="29"/>
      <c r="E93" s="29">
        <f>B93+C93+D93</f>
        <v>0</v>
      </c>
      <c r="F93" s="30" t="s">
        <v>14</v>
      </c>
      <c r="G93" s="125"/>
      <c r="K93" s="14"/>
      <c r="L93" s="3"/>
    </row>
    <row r="94" spans="1:12">
      <c r="A94" s="4" t="s">
        <v>5</v>
      </c>
      <c r="B94" s="29"/>
      <c r="C94" s="29"/>
      <c r="D94" s="29"/>
      <c r="E94" s="29">
        <f>B94+C94+D94</f>
        <v>0</v>
      </c>
      <c r="F94" s="30" t="s">
        <v>14</v>
      </c>
      <c r="G94" s="125"/>
      <c r="K94" s="12"/>
      <c r="L94" s="3"/>
    </row>
    <row r="96" spans="1:12" s="42" customFormat="1">
      <c r="B96" s="78" t="s">
        <v>8</v>
      </c>
      <c r="C96" s="78" t="s">
        <v>7</v>
      </c>
      <c r="D96" s="78" t="s">
        <v>6</v>
      </c>
      <c r="E96" s="78" t="s">
        <v>10</v>
      </c>
      <c r="I96" s="47"/>
      <c r="J96" s="11"/>
      <c r="K96" s="47"/>
    </row>
    <row r="97" spans="1:12" s="42" customFormat="1">
      <c r="A97" s="44" t="s">
        <v>19</v>
      </c>
      <c r="B97" s="46">
        <f>(((B83+B84)/2*$G$83+(B88+B89)/2*$G$88+(B93+B94)/2*$G$93))/($J$87)/$B$77</f>
        <v>321.74590250982334</v>
      </c>
      <c r="C97" s="46">
        <f t="shared" ref="C97:D97" si="1">(((C83+C84)/2*$G$83+(C88+C89)/2*$G$88+(C93+C94)/2*$G$93))/($J$87)/$B$77</f>
        <v>15.027080604623173</v>
      </c>
      <c r="D97" s="46">
        <f t="shared" si="1"/>
        <v>11.450387624340685</v>
      </c>
      <c r="E97" s="46">
        <f>B97+C97+D97</f>
        <v>348.2233707387872</v>
      </c>
      <c r="H97" s="61"/>
      <c r="I97" s="61"/>
    </row>
    <row r="100" spans="1:12">
      <c r="A100" t="s">
        <v>9</v>
      </c>
      <c r="B100" s="126" t="s">
        <v>124</v>
      </c>
      <c r="C100" s="127"/>
      <c r="D100" s="85"/>
      <c r="E100" s="85"/>
      <c r="F100" s="86"/>
      <c r="G100" s="23"/>
    </row>
    <row r="101" spans="1:12">
      <c r="A101" t="s">
        <v>18</v>
      </c>
      <c r="B101" s="23">
        <v>468.4</v>
      </c>
      <c r="C101" s="23"/>
      <c r="D101" s="23"/>
      <c r="E101" s="23"/>
      <c r="F101" s="23"/>
      <c r="G101" s="23"/>
    </row>
    <row r="102" spans="1:12">
      <c r="A102" t="s">
        <v>11</v>
      </c>
      <c r="B102" s="25">
        <v>43413</v>
      </c>
      <c r="C102" s="23"/>
      <c r="D102" s="23"/>
      <c r="E102" s="23"/>
      <c r="F102" s="23"/>
      <c r="G102" s="23"/>
    </row>
    <row r="103" spans="1:12">
      <c r="A103" t="s">
        <v>12</v>
      </c>
      <c r="B103" s="25">
        <v>43432</v>
      </c>
      <c r="C103" s="23"/>
      <c r="D103" s="23"/>
      <c r="E103" s="23"/>
      <c r="F103" s="23"/>
      <c r="G103" s="23"/>
    </row>
    <row r="104" spans="1:12">
      <c r="B104" s="23"/>
      <c r="C104" s="23"/>
      <c r="D104" s="23"/>
      <c r="E104" s="23"/>
      <c r="F104" s="23"/>
      <c r="G104" s="23"/>
    </row>
    <row r="105" spans="1:12">
      <c r="A105" s="4" t="s">
        <v>1</v>
      </c>
      <c r="B105" s="76" t="s">
        <v>105</v>
      </c>
      <c r="C105" s="23"/>
      <c r="D105" s="23"/>
      <c r="E105" s="23"/>
      <c r="F105" s="23"/>
      <c r="G105" s="23"/>
    </row>
    <row r="106" spans="1:12">
      <c r="A106" s="4" t="s">
        <v>3</v>
      </c>
      <c r="B106" s="28" t="s">
        <v>8</v>
      </c>
      <c r="C106" s="28" t="s">
        <v>7</v>
      </c>
      <c r="D106" s="28" t="s">
        <v>6</v>
      </c>
      <c r="E106" s="28" t="s">
        <v>10</v>
      </c>
      <c r="F106" s="28" t="s">
        <v>13</v>
      </c>
      <c r="G106" s="28" t="s">
        <v>15</v>
      </c>
    </row>
    <row r="107" spans="1:12">
      <c r="A107" s="4" t="s">
        <v>4</v>
      </c>
      <c r="B107" s="29">
        <v>207600</v>
      </c>
      <c r="C107" s="29">
        <v>28300</v>
      </c>
      <c r="D107" s="29">
        <v>21696</v>
      </c>
      <c r="E107" s="29">
        <f>B107+C107+D107</f>
        <v>257596</v>
      </c>
      <c r="F107" s="30" t="s">
        <v>14</v>
      </c>
      <c r="G107" s="125">
        <v>4</v>
      </c>
    </row>
    <row r="108" spans="1:12">
      <c r="A108" s="4" t="s">
        <v>5</v>
      </c>
      <c r="B108" s="29">
        <v>270600</v>
      </c>
      <c r="C108" s="29">
        <v>28300</v>
      </c>
      <c r="D108" s="29">
        <v>19176</v>
      </c>
      <c r="E108" s="29">
        <f>B108+C108+D108</f>
        <v>318076</v>
      </c>
      <c r="F108" s="30" t="s">
        <v>14</v>
      </c>
      <c r="G108" s="125"/>
    </row>
    <row r="109" spans="1:12">
      <c r="B109" s="23"/>
      <c r="C109" s="23"/>
      <c r="D109" s="23"/>
      <c r="E109" s="23"/>
      <c r="F109" s="23"/>
      <c r="G109" s="23"/>
      <c r="K109" s="82"/>
    </row>
    <row r="110" spans="1:12">
      <c r="A110" s="4" t="s">
        <v>1</v>
      </c>
      <c r="B110" s="76" t="s">
        <v>123</v>
      </c>
      <c r="C110" s="23"/>
      <c r="D110" s="23"/>
      <c r="E110" s="23"/>
      <c r="F110" s="23"/>
      <c r="G110" s="23"/>
      <c r="K110" s="2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  <c r="I111" s="57" t="s">
        <v>63</v>
      </c>
      <c r="J111" s="12">
        <f>G107+G112+G117</f>
        <v>7</v>
      </c>
      <c r="K111" s="3"/>
    </row>
    <row r="112" spans="1:12">
      <c r="A112" s="4" t="s">
        <v>4</v>
      </c>
      <c r="B112" s="29">
        <v>242200</v>
      </c>
      <c r="C112" s="29">
        <v>28300</v>
      </c>
      <c r="D112" s="29">
        <v>27578</v>
      </c>
      <c r="E112" s="29">
        <f>B112+C112+D112</f>
        <v>298078</v>
      </c>
      <c r="F112" s="30" t="s">
        <v>14</v>
      </c>
      <c r="G112" s="125">
        <v>3</v>
      </c>
      <c r="I112" s="54" t="s">
        <v>61</v>
      </c>
      <c r="J112" s="55">
        <f>(G107*100/(G107+G112+G117))^2+(G112*100/(G107+G112+G117))^2+(G117*100/(G107+G112+G117))^2</f>
        <v>5102.0408163265311</v>
      </c>
      <c r="L112" s="9"/>
    </row>
    <row r="113" spans="1:12">
      <c r="A113" s="4" t="s">
        <v>5</v>
      </c>
      <c r="B113" s="29">
        <v>242200</v>
      </c>
      <c r="C113" s="29">
        <v>28300</v>
      </c>
      <c r="D113" s="29">
        <v>27578</v>
      </c>
      <c r="E113" s="29">
        <f>B113+C113+D113</f>
        <v>298078</v>
      </c>
      <c r="F113" s="30" t="s">
        <v>14</v>
      </c>
      <c r="G113" s="125"/>
      <c r="L113" s="10"/>
    </row>
    <row r="114" spans="1:12">
      <c r="B114" s="23"/>
      <c r="C114" s="23"/>
      <c r="D114" s="23"/>
      <c r="E114" s="23"/>
      <c r="F114" s="23"/>
      <c r="G114" s="23"/>
      <c r="K114" s="3"/>
      <c r="L114" s="3"/>
    </row>
    <row r="115" spans="1:12">
      <c r="A115" s="4" t="s">
        <v>1</v>
      </c>
      <c r="B115" s="76"/>
      <c r="C115" s="23"/>
      <c r="D115" s="23"/>
      <c r="E115" s="23"/>
      <c r="F115" s="23"/>
      <c r="G115" s="23"/>
      <c r="K115" s="3"/>
      <c r="L115" s="3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K116" s="3"/>
      <c r="L116" s="3"/>
    </row>
    <row r="117" spans="1:12">
      <c r="A117" s="4" t="s">
        <v>4</v>
      </c>
      <c r="B117" s="29"/>
      <c r="C117" s="29"/>
      <c r="D117" s="29"/>
      <c r="E117" s="29">
        <f>B117+C117+D117</f>
        <v>0</v>
      </c>
      <c r="F117" s="30" t="s">
        <v>14</v>
      </c>
      <c r="G117" s="125"/>
      <c r="K117" s="14"/>
      <c r="L117" s="3"/>
    </row>
    <row r="118" spans="1:12">
      <c r="A118" s="4" t="s">
        <v>5</v>
      </c>
      <c r="B118" s="29"/>
      <c r="C118" s="29"/>
      <c r="D118" s="29"/>
      <c r="E118" s="29">
        <f>B118+C118+D118</f>
        <v>0</v>
      </c>
      <c r="F118" s="30" t="s">
        <v>14</v>
      </c>
      <c r="G118" s="125"/>
      <c r="K118" s="12"/>
      <c r="L118" s="3"/>
    </row>
    <row r="120" spans="1:12" s="42" customFormat="1">
      <c r="B120" s="78" t="s">
        <v>8</v>
      </c>
      <c r="C120" s="78" t="s">
        <v>7</v>
      </c>
      <c r="D120" s="78" t="s">
        <v>6</v>
      </c>
      <c r="E120" s="78" t="s">
        <v>10</v>
      </c>
      <c r="I120" s="47"/>
      <c r="J120" s="11"/>
      <c r="K120" s="47"/>
    </row>
    <row r="121" spans="1:12" s="42" customFormat="1">
      <c r="A121" s="44" t="s">
        <v>19</v>
      </c>
      <c r="B121" s="46">
        <f>(((B107+B108)/2*$G$107+(B112+B113)/2*$G$112+(B117+B118)/2*$G$117))/($J$111)/$B$101</f>
        <v>513.29754788337198</v>
      </c>
      <c r="C121" s="46">
        <f t="shared" ref="C121:D121" si="2">(((C107+C108)/2*$G$107+(C112+C113)/2*$G$112+(C117+C118)/2*$G$117))/($J$111)/$B$101</f>
        <v>60.418445772843725</v>
      </c>
      <c r="D121" s="46">
        <f t="shared" si="2"/>
        <v>50.164084421129679</v>
      </c>
      <c r="E121" s="46">
        <f>B121+C121+D121</f>
        <v>623.88007807734539</v>
      </c>
      <c r="H121" s="61"/>
      <c r="I121" s="61"/>
    </row>
    <row r="124" spans="1:12" s="42" customFormat="1" ht="30">
      <c r="A124" s="77" t="s">
        <v>125</v>
      </c>
      <c r="B124" s="67" t="s">
        <v>78</v>
      </c>
      <c r="C124" s="67" t="s">
        <v>80</v>
      </c>
      <c r="D124" s="44" t="s">
        <v>81</v>
      </c>
      <c r="E124" s="67" t="s">
        <v>79</v>
      </c>
    </row>
    <row r="125" spans="1:12" s="42" customFormat="1">
      <c r="A125" s="56">
        <f>(J15*J16+J39*J40+J63*J64+J87*J88+J111*J112)/(J15+J39+J63+J87+J111)</f>
        <v>5640.9563971000644</v>
      </c>
      <c r="B125" s="63">
        <f>(B25*$J$15+B49*$J$39+B73*$J$63+B97*$J$87+B121*$J$111)/($J$15+$J$39+$J$63+$J$87+$J$111)</f>
        <v>532.63533757684502</v>
      </c>
      <c r="C125" s="63">
        <f>(C25*$J$15+C49*$J$39+C73*$J$63+C97*$J$87+C121*$J$111)/($J$15+$J$39+$J$63+$J$87+$J$111)</f>
        <v>39.144622032101431</v>
      </c>
      <c r="D125" s="63">
        <f t="shared" ref="D125" si="3">(D25*$J$15+D49*$J$39+D73*$J$63+D97*$J$87+D121*$J$111)/($J$15+$J$39+$J$63+$J$87+$J$111)</f>
        <v>26.303263240763254</v>
      </c>
      <c r="E125" s="63">
        <f>B125+C125+D125</f>
        <v>598.08322284970973</v>
      </c>
    </row>
    <row r="126" spans="1:12" s="42" customFormat="1"/>
    <row r="127" spans="1:12" s="42" customFormat="1">
      <c r="A127" s="44" t="s">
        <v>83</v>
      </c>
      <c r="B127" s="68">
        <f>C125/E125</f>
        <v>6.5450125562104167E-2</v>
      </c>
    </row>
  </sheetData>
  <mergeCells count="20">
    <mergeCell ref="G69:G70"/>
    <mergeCell ref="B4:C4"/>
    <mergeCell ref="G11:G12"/>
    <mergeCell ref="G16:G17"/>
    <mergeCell ref="G21:G22"/>
    <mergeCell ref="B28:C28"/>
    <mergeCell ref="G35:G36"/>
    <mergeCell ref="G40:G41"/>
    <mergeCell ref="G45:G46"/>
    <mergeCell ref="B52:C52"/>
    <mergeCell ref="G59:G60"/>
    <mergeCell ref="G64:G65"/>
    <mergeCell ref="G112:G113"/>
    <mergeCell ref="G117:G118"/>
    <mergeCell ref="B76:C76"/>
    <mergeCell ref="G83:G84"/>
    <mergeCell ref="G88:G89"/>
    <mergeCell ref="G93:G94"/>
    <mergeCell ref="B100:C100"/>
    <mergeCell ref="G107:G10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L132"/>
  <sheetViews>
    <sheetView topLeftCell="A112" workbookViewId="0">
      <selection activeCell="B105" sqref="B105:C105"/>
    </sheetView>
  </sheetViews>
  <sheetFormatPr baseColWidth="10" defaultRowHeight="15"/>
  <cols>
    <col min="1" max="1" width="19.42578125" bestFit="1" customWidth="1"/>
    <col min="7" max="7" width="16.140625" bestFit="1" customWidth="1"/>
  </cols>
  <sheetData>
    <row r="4" spans="1:12">
      <c r="A4" t="s">
        <v>9</v>
      </c>
      <c r="B4" s="126" t="s">
        <v>104</v>
      </c>
      <c r="C4" s="127"/>
      <c r="D4" s="23"/>
      <c r="E4" s="23"/>
      <c r="F4" s="23"/>
      <c r="G4" s="23"/>
    </row>
    <row r="5" spans="1:12">
      <c r="A5" t="s">
        <v>18</v>
      </c>
      <c r="B5" s="23">
        <v>768.78</v>
      </c>
      <c r="C5" s="23"/>
      <c r="D5" s="23"/>
      <c r="E5" s="23"/>
      <c r="F5" s="23"/>
      <c r="G5" s="23"/>
    </row>
    <row r="6" spans="1:12">
      <c r="A6" t="s">
        <v>11</v>
      </c>
      <c r="B6" s="25">
        <v>43413</v>
      </c>
      <c r="C6" s="23"/>
      <c r="D6" s="23"/>
      <c r="E6" s="23"/>
      <c r="F6" s="23"/>
      <c r="G6" s="23"/>
    </row>
    <row r="7" spans="1:12">
      <c r="A7" t="s">
        <v>12</v>
      </c>
      <c r="B7" s="25">
        <v>43432</v>
      </c>
      <c r="C7" s="23"/>
      <c r="D7" s="23"/>
      <c r="E7" s="23"/>
      <c r="F7" s="23"/>
      <c r="G7" s="23"/>
    </row>
    <row r="8" spans="1:12">
      <c r="B8" s="23"/>
      <c r="C8" s="23"/>
      <c r="D8" s="23"/>
      <c r="E8" s="23"/>
      <c r="F8" s="23"/>
      <c r="G8" s="23"/>
    </row>
    <row r="9" spans="1:12">
      <c r="A9" s="4" t="s">
        <v>1</v>
      </c>
      <c r="B9" s="23" t="s">
        <v>105</v>
      </c>
      <c r="C9" s="72"/>
      <c r="D9" s="23"/>
      <c r="E9" s="23"/>
      <c r="F9" s="23"/>
      <c r="G9" s="23"/>
    </row>
    <row r="10" spans="1:12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2">
      <c r="A11" s="4" t="s">
        <v>4</v>
      </c>
      <c r="B11" s="29">
        <v>217100</v>
      </c>
      <c r="C11" s="29">
        <v>75100</v>
      </c>
      <c r="D11" s="29">
        <v>21316</v>
      </c>
      <c r="E11" s="29">
        <f>B11+C11+D11</f>
        <v>313516</v>
      </c>
      <c r="F11" s="30" t="s">
        <v>14</v>
      </c>
      <c r="G11" s="125">
        <v>10</v>
      </c>
      <c r="K11" s="9"/>
    </row>
    <row r="12" spans="1:12">
      <c r="A12" s="4" t="s">
        <v>5</v>
      </c>
      <c r="B12" s="29">
        <v>217100</v>
      </c>
      <c r="C12" s="29">
        <v>75100</v>
      </c>
      <c r="D12" s="29">
        <v>21316</v>
      </c>
      <c r="E12" s="29">
        <f>B12+C12+D12</f>
        <v>313516</v>
      </c>
      <c r="F12" s="30" t="s">
        <v>14</v>
      </c>
      <c r="G12" s="125"/>
      <c r="K12" s="10"/>
    </row>
    <row r="13" spans="1:12">
      <c r="B13" s="23"/>
      <c r="C13" s="23"/>
      <c r="D13" s="23"/>
      <c r="E13" s="23"/>
      <c r="F13" s="23"/>
      <c r="G13" s="23"/>
      <c r="I13" s="3"/>
      <c r="J13" s="3"/>
      <c r="K13" s="12"/>
    </row>
    <row r="14" spans="1:12">
      <c r="A14" s="4" t="s">
        <v>1</v>
      </c>
      <c r="B14" s="72" t="s">
        <v>106</v>
      </c>
      <c r="C14" s="23"/>
      <c r="D14" s="23"/>
      <c r="E14" s="23"/>
      <c r="F14" s="23"/>
      <c r="G14" s="23"/>
      <c r="I14" s="3"/>
      <c r="J14" s="3"/>
      <c r="K14" s="2"/>
    </row>
    <row r="15" spans="1:12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15</v>
      </c>
      <c r="K15" s="3"/>
    </row>
    <row r="16" spans="1:12">
      <c r="A16" s="4" t="s">
        <v>4</v>
      </c>
      <c r="B16" s="29">
        <v>264300</v>
      </c>
      <c r="C16" s="80">
        <v>191400</v>
      </c>
      <c r="D16" s="80">
        <v>36015</v>
      </c>
      <c r="E16" s="29">
        <f>B16+C16+D16</f>
        <v>491715</v>
      </c>
      <c r="F16" s="30" t="s">
        <v>14</v>
      </c>
      <c r="G16" s="125">
        <v>1</v>
      </c>
      <c r="I16" s="54" t="s">
        <v>61</v>
      </c>
      <c r="J16" s="55">
        <f>(G11*100/(G11+G16+G21))^2+(G16*100/(G11+G16+G21))^2+(G21*100/(G11+G16+G21))^2</f>
        <v>5200.0000000000009</v>
      </c>
      <c r="K16" s="3"/>
      <c r="L16" s="9"/>
    </row>
    <row r="17" spans="1:12">
      <c r="A17" s="4" t="s">
        <v>5</v>
      </c>
      <c r="B17" s="29">
        <v>264300</v>
      </c>
      <c r="C17" s="80">
        <v>191400</v>
      </c>
      <c r="D17" s="80">
        <v>36015</v>
      </c>
      <c r="E17" s="29">
        <f>B17+C17+D17</f>
        <v>491715</v>
      </c>
      <c r="F17" s="30" t="s">
        <v>14</v>
      </c>
      <c r="G17" s="125"/>
      <c r="L17" s="10"/>
    </row>
    <row r="18" spans="1:12">
      <c r="B18" s="23"/>
      <c r="C18" s="23"/>
      <c r="D18" s="23"/>
      <c r="E18" s="23"/>
      <c r="F18" s="23"/>
      <c r="G18" s="23"/>
      <c r="K18" s="3"/>
      <c r="L18" s="3"/>
    </row>
    <row r="19" spans="1:12">
      <c r="A19" s="4" t="s">
        <v>1</v>
      </c>
      <c r="B19" s="81" t="s">
        <v>107</v>
      </c>
      <c r="C19" s="23"/>
      <c r="D19" s="23"/>
      <c r="E19" s="23"/>
      <c r="F19" s="23"/>
      <c r="G19" s="23"/>
      <c r="I19" s="9"/>
      <c r="K19" s="3"/>
      <c r="L19" s="3"/>
    </row>
    <row r="20" spans="1:12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I20" s="10"/>
      <c r="K20" s="3"/>
      <c r="L20" s="3"/>
    </row>
    <row r="21" spans="1:12">
      <c r="A21" s="4" t="s">
        <v>4</v>
      </c>
      <c r="B21" s="29">
        <v>160500</v>
      </c>
      <c r="C21" s="80">
        <v>76100</v>
      </c>
      <c r="D21" s="80">
        <v>28395</v>
      </c>
      <c r="E21" s="29">
        <f>B21+C21+D21</f>
        <v>264995</v>
      </c>
      <c r="F21" s="30" t="s">
        <v>14</v>
      </c>
      <c r="G21" s="125">
        <v>4</v>
      </c>
      <c r="I21" s="12"/>
      <c r="K21" s="14"/>
      <c r="L21" s="3"/>
    </row>
    <row r="22" spans="1:12">
      <c r="A22" s="4" t="s">
        <v>5</v>
      </c>
      <c r="B22" s="29">
        <v>160500</v>
      </c>
      <c r="C22" s="80">
        <v>76100</v>
      </c>
      <c r="D22" s="80">
        <v>28395</v>
      </c>
      <c r="E22" s="29">
        <f>B22+C22+D22</f>
        <v>264995</v>
      </c>
      <c r="F22" s="30" t="s">
        <v>14</v>
      </c>
      <c r="G22" s="125"/>
      <c r="I22" s="13"/>
      <c r="K22" s="12"/>
      <c r="L22" s="3"/>
    </row>
    <row r="23" spans="1:12">
      <c r="B23" s="23"/>
      <c r="C23" s="23"/>
      <c r="D23" s="23"/>
      <c r="E23" s="23"/>
      <c r="F23" s="23"/>
      <c r="G23" s="23"/>
    </row>
    <row r="24" spans="1:12" s="42" customFormat="1">
      <c r="B24" s="73" t="s">
        <v>8</v>
      </c>
      <c r="C24" s="73" t="s">
        <v>7</v>
      </c>
      <c r="D24" s="73" t="s">
        <v>6</v>
      </c>
      <c r="E24" s="73" t="s">
        <v>10</v>
      </c>
      <c r="I24" s="47"/>
      <c r="J24" s="11"/>
      <c r="K24" s="47"/>
    </row>
    <row r="25" spans="1:12" s="42" customFormat="1">
      <c r="A25" s="44" t="s">
        <v>19</v>
      </c>
      <c r="B25" s="46">
        <f>(((B11+B12)/2*$G$11+(B16+B17)/2*$G$16+(B21+B22)/2*$G$21))/($G$11+$G$16+$G$21)/$B$5</f>
        <v>266.85571077985037</v>
      </c>
      <c r="C25" s="46">
        <f>(((C11+C12)/2*$G$11+(C16+C17)/2*$G$16+(C21+C22)/2*$G$21)/($G$11+$G$16+$G$21))/$B$5</f>
        <v>108.11935794375505</v>
      </c>
      <c r="D25" s="46">
        <f>(((D11+D12)/2*$G$11+(D16+D17)/2*$G$16+(D21+D22)/2*$G$21)/($G$11+$G$16+$G$21))/$B$5</f>
        <v>31.457200586210188</v>
      </c>
      <c r="E25" s="46">
        <f>(((E11+E12)/2*$G$11+(E16+E17)/2*$G$16+(E21+E22)/2*$G$21)/($G$11+$G$16+$G$21))/$B$5</f>
        <v>406.43226930981558</v>
      </c>
      <c r="H25" s="61"/>
      <c r="I25" s="61"/>
    </row>
    <row r="26" spans="1:12">
      <c r="B26" s="23"/>
      <c r="C26" s="23"/>
      <c r="D26" s="23"/>
      <c r="E26" s="23"/>
      <c r="F26" s="23"/>
      <c r="G26" s="23"/>
    </row>
    <row r="27" spans="1:12">
      <c r="B27" s="23"/>
      <c r="C27" s="23"/>
      <c r="D27" s="23"/>
      <c r="E27" s="23"/>
      <c r="F27" s="23"/>
      <c r="G27" s="23"/>
    </row>
    <row r="28" spans="1:12">
      <c r="A28" t="s">
        <v>9</v>
      </c>
      <c r="B28" s="126" t="s">
        <v>108</v>
      </c>
      <c r="C28" s="127"/>
      <c r="D28" s="23"/>
      <c r="E28" s="23"/>
      <c r="F28" s="23"/>
      <c r="G28" s="23"/>
    </row>
    <row r="29" spans="1:12">
      <c r="A29" t="s">
        <v>18</v>
      </c>
      <c r="B29">
        <v>845.31</v>
      </c>
    </row>
    <row r="30" spans="1:12">
      <c r="A30" t="s">
        <v>11</v>
      </c>
      <c r="B30" s="1">
        <v>43413</v>
      </c>
    </row>
    <row r="31" spans="1:12">
      <c r="A31" t="s">
        <v>12</v>
      </c>
      <c r="B31" s="1">
        <v>43432</v>
      </c>
    </row>
    <row r="33" spans="1:12">
      <c r="A33" s="4" t="s">
        <v>1</v>
      </c>
      <c r="B33" s="72" t="s">
        <v>109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346000</v>
      </c>
      <c r="C35" s="29">
        <v>98300</v>
      </c>
      <c r="D35" s="29">
        <v>29400</v>
      </c>
      <c r="E35" s="29">
        <f>B35+C35+D35</f>
        <v>473700</v>
      </c>
      <c r="F35" s="30" t="s">
        <v>14</v>
      </c>
      <c r="G35" s="125">
        <v>4</v>
      </c>
    </row>
    <row r="36" spans="1:12">
      <c r="A36" s="4" t="s">
        <v>5</v>
      </c>
      <c r="B36" s="29">
        <v>371200</v>
      </c>
      <c r="C36" s="29">
        <v>102900</v>
      </c>
      <c r="D36" s="29">
        <v>29400</v>
      </c>
      <c r="E36" s="29">
        <f>B36+C36+D36</f>
        <v>503500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2" t="s">
        <v>105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12</v>
      </c>
      <c r="K39" s="3"/>
    </row>
    <row r="40" spans="1:12">
      <c r="A40" s="4" t="s">
        <v>4</v>
      </c>
      <c r="B40" s="29">
        <v>364900</v>
      </c>
      <c r="C40" s="29">
        <v>101700</v>
      </c>
      <c r="D40" s="29">
        <v>29400</v>
      </c>
      <c r="E40" s="29">
        <f>B40+C40+D40</f>
        <v>496000</v>
      </c>
      <c r="F40" s="30" t="s">
        <v>14</v>
      </c>
      <c r="G40" s="125">
        <v>8</v>
      </c>
      <c r="I40" s="54" t="s">
        <v>61</v>
      </c>
      <c r="J40" s="55">
        <f>(G35*100/(G35+G40+G45))^2+(G40*100/(G35+G40+G45))^2+(G45*100/(G35+G40+G45))^2</f>
        <v>5555.5555555555566</v>
      </c>
      <c r="L40" s="9"/>
    </row>
    <row r="41" spans="1:12">
      <c r="A41" s="4" t="s">
        <v>5</v>
      </c>
      <c r="B41" s="29">
        <v>692000</v>
      </c>
      <c r="C41" s="29">
        <v>160600</v>
      </c>
      <c r="D41" s="29">
        <v>29400</v>
      </c>
      <c r="E41" s="29">
        <f>B41+C41+D41</f>
        <v>882000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2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7" spans="1:12">
      <c r="B47" s="23"/>
      <c r="C47" s="23"/>
      <c r="D47" s="23"/>
      <c r="E47" s="23"/>
      <c r="F47" s="23"/>
      <c r="G47" s="23"/>
    </row>
    <row r="48" spans="1:12" s="42" customFormat="1">
      <c r="B48" s="73" t="s">
        <v>8</v>
      </c>
      <c r="C48" s="73" t="s">
        <v>7</v>
      </c>
      <c r="D48" s="73" t="s">
        <v>6</v>
      </c>
      <c r="E48" s="73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(((B35+B36)/2*$G$35+(B40+B41)/2*$G$40+(B45+B46)/2*$G$45))/($J$39)/$B$29</f>
        <v>558.17786768562223</v>
      </c>
      <c r="C49" s="46">
        <f t="shared" ref="C49:D49" si="0">(((C35+C36)/2*$G$35+(C40+C41)/2*$G$40+(C45+C46)/2*$G$45))/($J$39)/$B$29</f>
        <v>143.10331909792464</v>
      </c>
      <c r="D49" s="46">
        <f t="shared" si="0"/>
        <v>34.780139830358095</v>
      </c>
      <c r="E49" s="46">
        <f>B49+C49+D49</f>
        <v>736.06132661390495</v>
      </c>
      <c r="H49" s="61"/>
      <c r="I49" s="61"/>
    </row>
    <row r="52" spans="1:12">
      <c r="A52" t="s">
        <v>9</v>
      </c>
      <c r="B52" s="126" t="s">
        <v>110</v>
      </c>
      <c r="C52" s="127"/>
      <c r="D52" s="23"/>
      <c r="E52" s="23"/>
      <c r="F52" s="23"/>
      <c r="G52" s="23"/>
    </row>
    <row r="53" spans="1:12">
      <c r="A53" t="s">
        <v>18</v>
      </c>
      <c r="B53" s="23">
        <v>491.5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2" t="s">
        <v>106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248500</v>
      </c>
      <c r="C59" s="29">
        <v>188500</v>
      </c>
      <c r="D59" s="29">
        <v>36015</v>
      </c>
      <c r="E59" s="29">
        <f>B59+C59+D59</f>
        <v>473015</v>
      </c>
      <c r="F59" s="30" t="s">
        <v>14</v>
      </c>
      <c r="G59" s="125">
        <v>2</v>
      </c>
    </row>
    <row r="60" spans="1:12">
      <c r="A60" s="4" t="s">
        <v>5</v>
      </c>
      <c r="B60" s="29">
        <v>248500</v>
      </c>
      <c r="C60" s="29">
        <v>188500</v>
      </c>
      <c r="D60" s="29">
        <v>36015</v>
      </c>
      <c r="E60" s="29">
        <f>B60+C60+D60</f>
        <v>473015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2" t="s">
        <v>105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G59+G64+G69+G74</f>
        <v>8</v>
      </c>
      <c r="K63" s="3"/>
    </row>
    <row r="64" spans="1:12">
      <c r="A64" s="4" t="s">
        <v>4</v>
      </c>
      <c r="B64" s="29">
        <v>191900</v>
      </c>
      <c r="C64" s="29">
        <v>70600</v>
      </c>
      <c r="D64" s="29">
        <v>29400</v>
      </c>
      <c r="E64" s="29">
        <f>B64+C64+D64</f>
        <v>291900</v>
      </c>
      <c r="F64" s="30" t="s">
        <v>14</v>
      </c>
      <c r="G64" s="125">
        <v>3</v>
      </c>
      <c r="I64" s="54" t="s">
        <v>61</v>
      </c>
      <c r="J64" s="55">
        <f>(G59*100/(G59+G64+G69+G74))^2+(G64*100/(G59+G64+G69+G74))^2+(G69*100/(G59+G64+G69+G74))^2+(G74*100/J63)^2</f>
        <v>2812.5</v>
      </c>
      <c r="L64" s="9"/>
    </row>
    <row r="65" spans="1:12">
      <c r="A65" s="4" t="s">
        <v>5</v>
      </c>
      <c r="B65" s="29">
        <v>191900</v>
      </c>
      <c r="C65" s="29">
        <v>70600</v>
      </c>
      <c r="D65" s="29">
        <v>29400</v>
      </c>
      <c r="E65" s="29">
        <f>B65+C65+D65</f>
        <v>291900</v>
      </c>
      <c r="F65" s="30" t="s">
        <v>14</v>
      </c>
      <c r="G65" s="125"/>
      <c r="J65" s="9"/>
      <c r="L65" s="10"/>
    </row>
    <row r="66" spans="1:12">
      <c r="B66" s="23"/>
      <c r="C66" s="23"/>
      <c r="D66" s="23"/>
      <c r="E66" s="23"/>
      <c r="F66" s="23"/>
      <c r="G66" s="23"/>
      <c r="J66" s="10"/>
      <c r="K66" s="3"/>
      <c r="L66" s="3"/>
    </row>
    <row r="67" spans="1:12">
      <c r="A67" s="4" t="s">
        <v>1</v>
      </c>
      <c r="B67" s="81" t="s">
        <v>107</v>
      </c>
      <c r="C67" s="23"/>
      <c r="D67" s="23"/>
      <c r="E67" s="23"/>
      <c r="F67" s="23"/>
      <c r="G67" s="23"/>
      <c r="J67" s="10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J68" s="14"/>
      <c r="K68" s="3"/>
      <c r="L68" s="3"/>
    </row>
    <row r="69" spans="1:12">
      <c r="A69" s="4" t="s">
        <v>4</v>
      </c>
      <c r="B69" s="29">
        <v>151000</v>
      </c>
      <c r="C69" s="29">
        <v>74400</v>
      </c>
      <c r="D69" s="29">
        <v>28490</v>
      </c>
      <c r="E69" s="29">
        <f>B69+C69+D69</f>
        <v>253890</v>
      </c>
      <c r="F69" s="30" t="s">
        <v>14</v>
      </c>
      <c r="G69" s="125">
        <v>2</v>
      </c>
      <c r="J69" s="12"/>
      <c r="K69" s="3"/>
      <c r="L69" s="3"/>
    </row>
    <row r="70" spans="1:12">
      <c r="A70" s="4" t="s">
        <v>5</v>
      </c>
      <c r="B70" s="29">
        <v>151000</v>
      </c>
      <c r="C70" s="29">
        <v>74400</v>
      </c>
      <c r="D70" s="29">
        <v>28490</v>
      </c>
      <c r="E70" s="29">
        <f>B70+C70+D70</f>
        <v>253890</v>
      </c>
      <c r="F70" s="30" t="s">
        <v>14</v>
      </c>
      <c r="G70" s="125"/>
      <c r="J70" s="12"/>
      <c r="K70" s="3"/>
      <c r="L70" s="3"/>
    </row>
    <row r="71" spans="1:12">
      <c r="B71" s="23"/>
      <c r="C71" s="23"/>
      <c r="D71" s="23"/>
      <c r="E71" s="23"/>
      <c r="F71" s="23"/>
      <c r="G71" s="23"/>
      <c r="J71" s="13"/>
      <c r="K71" s="3"/>
      <c r="L71" s="3"/>
    </row>
    <row r="72" spans="1:12">
      <c r="A72" s="4" t="s">
        <v>1</v>
      </c>
      <c r="B72" s="81" t="s">
        <v>111</v>
      </c>
      <c r="C72" s="23"/>
      <c r="D72" s="23"/>
      <c r="E72" s="23"/>
      <c r="F72" s="23"/>
      <c r="G72" s="23"/>
      <c r="J72" s="12"/>
      <c r="K72" s="3"/>
      <c r="L72" s="3"/>
    </row>
    <row r="73" spans="1:12">
      <c r="A73" s="4" t="s">
        <v>3</v>
      </c>
      <c r="B73" s="28" t="s">
        <v>8</v>
      </c>
      <c r="C73" s="28" t="s">
        <v>7</v>
      </c>
      <c r="D73" s="28" t="s">
        <v>6</v>
      </c>
      <c r="E73" s="28" t="s">
        <v>10</v>
      </c>
      <c r="F73" s="28" t="s">
        <v>13</v>
      </c>
      <c r="G73" s="28" t="s">
        <v>15</v>
      </c>
      <c r="J73" s="13"/>
      <c r="K73" s="3"/>
      <c r="L73" s="3"/>
    </row>
    <row r="74" spans="1:12">
      <c r="A74" s="4" t="s">
        <v>4</v>
      </c>
      <c r="B74" s="29">
        <v>204500</v>
      </c>
      <c r="C74" s="29">
        <v>72900</v>
      </c>
      <c r="D74" s="29">
        <v>36015</v>
      </c>
      <c r="E74" s="29">
        <f>B74+C74+D74</f>
        <v>313415</v>
      </c>
      <c r="F74" s="30" t="s">
        <v>14</v>
      </c>
      <c r="G74" s="125">
        <v>1</v>
      </c>
      <c r="K74" s="14"/>
      <c r="L74" s="3"/>
    </row>
    <row r="75" spans="1:12">
      <c r="A75" s="4" t="s">
        <v>5</v>
      </c>
      <c r="B75" s="29">
        <v>204500</v>
      </c>
      <c r="C75" s="29">
        <v>72900</v>
      </c>
      <c r="D75" s="29">
        <v>36015</v>
      </c>
      <c r="E75" s="29">
        <f>B75+C75+D75</f>
        <v>313415</v>
      </c>
      <c r="F75" s="30" t="s">
        <v>14</v>
      </c>
      <c r="G75" s="125"/>
      <c r="K75" s="12"/>
      <c r="L75" s="3"/>
    </row>
    <row r="77" spans="1:12" s="42" customFormat="1">
      <c r="B77" s="73" t="s">
        <v>8</v>
      </c>
      <c r="C77" s="73" t="s">
        <v>7</v>
      </c>
      <c r="D77" s="73" t="s">
        <v>6</v>
      </c>
      <c r="E77" s="73" t="s">
        <v>10</v>
      </c>
      <c r="I77" s="47"/>
      <c r="J77" s="11"/>
      <c r="K77" s="47"/>
    </row>
    <row r="78" spans="1:12" s="42" customFormat="1">
      <c r="A78" s="44" t="s">
        <v>19</v>
      </c>
      <c r="B78" s="46">
        <f>(((B64+B65)/2*$G$64+(B69+B70)/2*$G$69+(B74+B75)/2*$G$74+(B59+B60)/2*$G$59))/($J$63)/$B$53</f>
        <v>401.62767039674463</v>
      </c>
      <c r="C78" s="46">
        <f t="shared" ref="C78:D78" si="1">(((C64+C65)/2*$G$64+(C69+C70)/2*$G$69+(C74+C75)/2*$G$74+(C59+C60)/2*$G$59))/($J$63)/$B$53</f>
        <v>206.1291963377416</v>
      </c>
      <c r="D78" s="46">
        <f t="shared" si="1"/>
        <v>64.401068158697868</v>
      </c>
      <c r="E78" s="46">
        <f>B78+C78+D78</f>
        <v>672.15793489318412</v>
      </c>
      <c r="H78" s="61"/>
      <c r="I78" s="61"/>
    </row>
    <row r="81" spans="1:12">
      <c r="A81" t="s">
        <v>9</v>
      </c>
      <c r="B81" s="126" t="s">
        <v>112</v>
      </c>
      <c r="C81" s="127"/>
      <c r="D81" s="23"/>
      <c r="E81" s="23"/>
      <c r="F81" s="23"/>
      <c r="G81" s="23"/>
    </row>
    <row r="82" spans="1:12">
      <c r="A82" t="s">
        <v>18</v>
      </c>
      <c r="B82" s="23">
        <v>1014.47</v>
      </c>
      <c r="C82" s="23"/>
      <c r="D82" s="23"/>
      <c r="E82" s="23"/>
      <c r="F82" s="23"/>
      <c r="G82" s="23"/>
    </row>
    <row r="83" spans="1:12">
      <c r="A83" t="s">
        <v>11</v>
      </c>
      <c r="B83" s="25">
        <v>43413</v>
      </c>
      <c r="C83" s="23"/>
      <c r="D83" s="23"/>
      <c r="E83" s="23"/>
      <c r="F83" s="23"/>
      <c r="G83" s="23"/>
    </row>
    <row r="84" spans="1:12">
      <c r="A84" t="s">
        <v>12</v>
      </c>
      <c r="B84" s="25">
        <v>43432</v>
      </c>
      <c r="C84" s="23"/>
      <c r="D84" s="23"/>
      <c r="E84" s="23"/>
      <c r="F84" s="23"/>
      <c r="G84" s="23"/>
    </row>
    <row r="85" spans="1:12">
      <c r="B85" s="23"/>
      <c r="C85" s="23"/>
      <c r="D85" s="23"/>
      <c r="E85" s="23"/>
      <c r="F85" s="23"/>
      <c r="G85" s="23"/>
    </row>
    <row r="86" spans="1:12">
      <c r="A86" s="4" t="s">
        <v>1</v>
      </c>
      <c r="B86" s="72" t="s">
        <v>113</v>
      </c>
      <c r="C86" s="23"/>
      <c r="D86" s="23"/>
      <c r="E86" s="23"/>
      <c r="F86" s="23"/>
      <c r="G86" s="23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</row>
    <row r="88" spans="1:12">
      <c r="A88" s="4" t="s">
        <v>4</v>
      </c>
      <c r="B88" s="29">
        <v>261100</v>
      </c>
      <c r="C88" s="29">
        <v>83000</v>
      </c>
      <c r="D88" s="29">
        <v>29400</v>
      </c>
      <c r="E88" s="29">
        <f>B88+C88+D88</f>
        <v>373500</v>
      </c>
      <c r="F88" s="30" t="s">
        <v>14</v>
      </c>
      <c r="G88" s="125">
        <v>5</v>
      </c>
    </row>
    <row r="89" spans="1:12">
      <c r="A89" s="4" t="s">
        <v>5</v>
      </c>
      <c r="B89" s="29">
        <v>261100</v>
      </c>
      <c r="C89" s="29">
        <v>83000</v>
      </c>
      <c r="D89" s="29">
        <v>29400</v>
      </c>
      <c r="E89" s="29">
        <f>B89+C89+D89</f>
        <v>373500</v>
      </c>
      <c r="F89" s="30" t="s">
        <v>14</v>
      </c>
      <c r="G89" s="125"/>
    </row>
    <row r="90" spans="1:12">
      <c r="B90" s="23"/>
      <c r="C90" s="23"/>
      <c r="D90" s="23"/>
      <c r="E90" s="23"/>
      <c r="F90" s="23"/>
      <c r="G90" s="23"/>
      <c r="K90" s="82"/>
    </row>
    <row r="91" spans="1:12">
      <c r="A91" s="4" t="s">
        <v>1</v>
      </c>
      <c r="B91" s="81" t="s">
        <v>107</v>
      </c>
      <c r="C91" s="23"/>
      <c r="D91" s="23"/>
      <c r="E91" s="23"/>
      <c r="F91" s="23"/>
      <c r="G91" s="23"/>
      <c r="K91" s="2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I92" s="57" t="s">
        <v>63</v>
      </c>
      <c r="J92" s="12">
        <f>G88+G93+G98</f>
        <v>7</v>
      </c>
      <c r="K92" s="3"/>
    </row>
    <row r="93" spans="1:12">
      <c r="A93" s="4" t="s">
        <v>4</v>
      </c>
      <c r="B93" s="29">
        <v>314600</v>
      </c>
      <c r="C93" s="29">
        <v>92700</v>
      </c>
      <c r="D93" s="29">
        <v>36015</v>
      </c>
      <c r="E93" s="29">
        <f>B93+C93+D93</f>
        <v>443315</v>
      </c>
      <c r="F93" s="30" t="s">
        <v>14</v>
      </c>
      <c r="G93" s="125">
        <v>2</v>
      </c>
      <c r="I93" s="54" t="s">
        <v>61</v>
      </c>
      <c r="J93" s="55">
        <f>(G88*100/(G88+G93+G98))^2+(G93*100/(G88+G93+G98))^2+(G98*100/(G88+G93+G98))^2</f>
        <v>5918.3673469387759</v>
      </c>
      <c r="L93" s="9"/>
    </row>
    <row r="94" spans="1:12">
      <c r="A94" s="4" t="s">
        <v>5</v>
      </c>
      <c r="B94" s="29">
        <v>314600</v>
      </c>
      <c r="C94" s="29">
        <v>92700</v>
      </c>
      <c r="D94" s="29">
        <v>36015</v>
      </c>
      <c r="E94" s="29">
        <f>B94+C94+D94</f>
        <v>443315</v>
      </c>
      <c r="F94" s="30" t="s">
        <v>14</v>
      </c>
      <c r="G94" s="125"/>
      <c r="L94" s="10"/>
    </row>
    <row r="95" spans="1:12">
      <c r="B95" s="23"/>
      <c r="C95" s="23"/>
      <c r="D95" s="23"/>
      <c r="E95" s="23"/>
      <c r="F95" s="23"/>
      <c r="G95" s="23"/>
      <c r="K95" s="3"/>
      <c r="L95" s="3"/>
    </row>
    <row r="96" spans="1:12">
      <c r="A96" s="4" t="s">
        <v>1</v>
      </c>
      <c r="B96" s="72"/>
      <c r="C96" s="23"/>
      <c r="D96" s="23"/>
      <c r="E96" s="23"/>
      <c r="F96" s="23"/>
      <c r="G96" s="23"/>
      <c r="K96" s="3"/>
      <c r="L96" s="3"/>
    </row>
    <row r="97" spans="1:12">
      <c r="A97" s="4" t="s">
        <v>3</v>
      </c>
      <c r="B97" s="28" t="s">
        <v>8</v>
      </c>
      <c r="C97" s="28" t="s">
        <v>7</v>
      </c>
      <c r="D97" s="28" t="s">
        <v>6</v>
      </c>
      <c r="E97" s="28" t="s">
        <v>10</v>
      </c>
      <c r="F97" s="28" t="s">
        <v>13</v>
      </c>
      <c r="G97" s="28" t="s">
        <v>15</v>
      </c>
      <c r="K97" s="3"/>
      <c r="L97" s="3"/>
    </row>
    <row r="98" spans="1:12">
      <c r="A98" s="4" t="s">
        <v>4</v>
      </c>
      <c r="B98" s="29"/>
      <c r="C98" s="29"/>
      <c r="D98" s="29"/>
      <c r="E98" s="29">
        <f>B98+C98+D98</f>
        <v>0</v>
      </c>
      <c r="F98" s="30" t="s">
        <v>14</v>
      </c>
      <c r="G98" s="125"/>
      <c r="K98" s="14"/>
      <c r="L98" s="3"/>
    </row>
    <row r="99" spans="1:12">
      <c r="A99" s="4" t="s">
        <v>5</v>
      </c>
      <c r="B99" s="29"/>
      <c r="C99" s="29"/>
      <c r="D99" s="29"/>
      <c r="E99" s="29">
        <f>B99+C99+D99</f>
        <v>0</v>
      </c>
      <c r="F99" s="30" t="s">
        <v>14</v>
      </c>
      <c r="G99" s="125"/>
      <c r="K99" s="12"/>
      <c r="L99" s="3"/>
    </row>
    <row r="101" spans="1:12" s="42" customFormat="1">
      <c r="B101" s="73" t="s">
        <v>8</v>
      </c>
      <c r="C101" s="73" t="s">
        <v>7</v>
      </c>
      <c r="D101" s="73" t="s">
        <v>6</v>
      </c>
      <c r="E101" s="73" t="s">
        <v>10</v>
      </c>
      <c r="I101" s="47"/>
      <c r="J101" s="11"/>
      <c r="K101" s="47"/>
    </row>
    <row r="102" spans="1:12" s="42" customFormat="1">
      <c r="A102" s="44" t="s">
        <v>19</v>
      </c>
      <c r="B102" s="46">
        <f>(((B88+B89)/2*$G$88+(B93+B94)/2*$G$93+(B98+B99)/2*$G$98))/($J$92)/$B$82</f>
        <v>272.44345745632131</v>
      </c>
      <c r="C102" s="46">
        <f t="shared" ref="C102:D102" si="2">(((C88+C89)/2*$G$88+(C93+C94)/2*$G$93+(C98+C99)/2*$G$98))/($J$92)/$B$82</f>
        <v>84.548018740257049</v>
      </c>
      <c r="D102" s="46">
        <f t="shared" si="2"/>
        <v>30.843691779944205</v>
      </c>
      <c r="E102" s="46">
        <f>B102+C102+D102</f>
        <v>387.83516797652254</v>
      </c>
      <c r="H102" s="61"/>
      <c r="I102" s="61"/>
    </row>
    <row r="105" spans="1:12">
      <c r="A105" t="s">
        <v>9</v>
      </c>
      <c r="B105" s="126" t="s">
        <v>114</v>
      </c>
      <c r="C105" s="127"/>
      <c r="D105" s="23"/>
      <c r="E105" s="23"/>
      <c r="F105" s="23"/>
      <c r="G105" s="23"/>
    </row>
    <row r="106" spans="1:12">
      <c r="A106" t="s">
        <v>18</v>
      </c>
      <c r="B106" s="23">
        <v>563.78</v>
      </c>
      <c r="C106" s="23"/>
      <c r="D106" s="23"/>
      <c r="E106" s="23"/>
      <c r="F106" s="23"/>
      <c r="G106" s="23"/>
    </row>
    <row r="107" spans="1:12">
      <c r="A107" t="s">
        <v>11</v>
      </c>
      <c r="B107" s="25">
        <v>43413</v>
      </c>
      <c r="C107" s="23"/>
      <c r="D107" s="23"/>
      <c r="E107" s="23"/>
      <c r="F107" s="23"/>
      <c r="G107" s="23"/>
    </row>
    <row r="108" spans="1:12">
      <c r="A108" t="s">
        <v>12</v>
      </c>
      <c r="B108" s="25">
        <v>43432</v>
      </c>
      <c r="C108" s="23"/>
      <c r="D108" s="23"/>
      <c r="E108" s="23"/>
      <c r="F108" s="23"/>
      <c r="G108" s="23"/>
    </row>
    <row r="109" spans="1:12">
      <c r="B109" s="23"/>
      <c r="C109" s="23"/>
      <c r="D109" s="23"/>
      <c r="E109" s="23"/>
      <c r="F109" s="23"/>
      <c r="G109" s="23"/>
    </row>
    <row r="110" spans="1:12">
      <c r="A110" s="4" t="s">
        <v>1</v>
      </c>
      <c r="B110" s="72" t="s">
        <v>106</v>
      </c>
      <c r="C110" s="23"/>
      <c r="D110" s="23"/>
      <c r="E110" s="23"/>
      <c r="F110" s="23"/>
      <c r="G110" s="23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</row>
    <row r="112" spans="1:12">
      <c r="A112" s="4" t="s">
        <v>4</v>
      </c>
      <c r="B112" s="29">
        <v>405800</v>
      </c>
      <c r="C112" s="29">
        <v>216800</v>
      </c>
      <c r="D112" s="29">
        <v>36015</v>
      </c>
      <c r="E112" s="29">
        <f>B112+C112+D112</f>
        <v>658615</v>
      </c>
      <c r="F112" s="30" t="s">
        <v>14</v>
      </c>
      <c r="G112" s="125">
        <v>2</v>
      </c>
    </row>
    <row r="113" spans="1:12">
      <c r="A113" s="4" t="s">
        <v>5</v>
      </c>
      <c r="B113" s="29">
        <v>405800</v>
      </c>
      <c r="C113" s="29">
        <v>216800</v>
      </c>
      <c r="D113" s="29">
        <v>36015</v>
      </c>
      <c r="E113" s="29">
        <f>B113+C113+D113</f>
        <v>658615</v>
      </c>
      <c r="F113" s="30" t="s">
        <v>14</v>
      </c>
      <c r="G113" s="125"/>
    </row>
    <row r="114" spans="1:12">
      <c r="B114" s="23"/>
      <c r="C114" s="23"/>
      <c r="D114" s="23"/>
      <c r="E114" s="23"/>
      <c r="F114" s="23"/>
      <c r="G114" s="23"/>
      <c r="K114" s="82"/>
    </row>
    <row r="115" spans="1:12">
      <c r="A115" s="4" t="s">
        <v>1</v>
      </c>
      <c r="B115" s="72"/>
      <c r="C115" s="23"/>
      <c r="D115" s="23"/>
      <c r="E115" s="23"/>
      <c r="F115" s="23"/>
      <c r="G115" s="23"/>
      <c r="K115" s="2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I116" s="57" t="s">
        <v>63</v>
      </c>
      <c r="J116" s="12">
        <f>G112+G117+G122</f>
        <v>5</v>
      </c>
      <c r="K116" s="3"/>
    </row>
    <row r="117" spans="1:12">
      <c r="A117" s="4" t="s">
        <v>4</v>
      </c>
      <c r="B117" s="29">
        <v>339800</v>
      </c>
      <c r="C117" s="29">
        <v>97200</v>
      </c>
      <c r="D117" s="29">
        <v>29400</v>
      </c>
      <c r="E117" s="29">
        <f>B117+C117+D117</f>
        <v>466400</v>
      </c>
      <c r="F117" s="30" t="s">
        <v>14</v>
      </c>
      <c r="G117" s="125">
        <v>3</v>
      </c>
      <c r="I117" s="54" t="s">
        <v>61</v>
      </c>
      <c r="J117" s="55">
        <f>(G112*100/(G112+G117+G122))^2+(G117*100/(G112+G117+G122))^2+(G122*100/(G112+G117+G122))^2</f>
        <v>5200</v>
      </c>
      <c r="L117" s="9"/>
    </row>
    <row r="118" spans="1:12">
      <c r="A118" s="4" t="s">
        <v>5</v>
      </c>
      <c r="B118" s="29">
        <v>339800</v>
      </c>
      <c r="C118" s="29">
        <v>97200</v>
      </c>
      <c r="D118" s="29">
        <v>29400</v>
      </c>
      <c r="E118" s="29">
        <f>B118+C118+D118</f>
        <v>466400</v>
      </c>
      <c r="F118" s="30" t="s">
        <v>14</v>
      </c>
      <c r="G118" s="125"/>
      <c r="L118" s="10"/>
    </row>
    <row r="119" spans="1:12">
      <c r="B119" s="23"/>
      <c r="C119" s="23"/>
      <c r="D119" s="23"/>
      <c r="E119" s="23"/>
      <c r="F119" s="23"/>
      <c r="G119" s="23"/>
      <c r="K119" s="3"/>
      <c r="L119" s="3"/>
    </row>
    <row r="120" spans="1:12">
      <c r="A120" s="4" t="s">
        <v>1</v>
      </c>
      <c r="B120" s="72"/>
      <c r="C120" s="23"/>
      <c r="D120" s="23"/>
      <c r="E120" s="23"/>
      <c r="F120" s="23"/>
      <c r="G120" s="23"/>
      <c r="K120" s="3"/>
      <c r="L120" s="3"/>
    </row>
    <row r="121" spans="1:12">
      <c r="A121" s="4" t="s">
        <v>3</v>
      </c>
      <c r="B121" s="28" t="s">
        <v>8</v>
      </c>
      <c r="C121" s="28" t="s">
        <v>7</v>
      </c>
      <c r="D121" s="28" t="s">
        <v>6</v>
      </c>
      <c r="E121" s="28" t="s">
        <v>10</v>
      </c>
      <c r="F121" s="28" t="s">
        <v>13</v>
      </c>
      <c r="G121" s="28" t="s">
        <v>15</v>
      </c>
      <c r="K121" s="3"/>
      <c r="L121" s="3"/>
    </row>
    <row r="122" spans="1:12">
      <c r="A122" s="4" t="s">
        <v>4</v>
      </c>
      <c r="B122" s="29"/>
      <c r="C122" s="29"/>
      <c r="D122" s="29"/>
      <c r="E122" s="29">
        <f>B122+C122+D122</f>
        <v>0</v>
      </c>
      <c r="F122" s="30" t="s">
        <v>14</v>
      </c>
      <c r="G122" s="125"/>
      <c r="K122" s="14"/>
      <c r="L122" s="3"/>
    </row>
    <row r="123" spans="1:12">
      <c r="A123" s="4" t="s">
        <v>5</v>
      </c>
      <c r="B123" s="29"/>
      <c r="C123" s="29"/>
      <c r="D123" s="29"/>
      <c r="E123" s="29">
        <f>B123+C123+D123</f>
        <v>0</v>
      </c>
      <c r="F123" s="30" t="s">
        <v>14</v>
      </c>
      <c r="G123" s="125"/>
      <c r="K123" s="12"/>
      <c r="L123" s="3"/>
    </row>
    <row r="125" spans="1:12" s="42" customFormat="1">
      <c r="B125" s="73" t="s">
        <v>8</v>
      </c>
      <c r="C125" s="73" t="s">
        <v>7</v>
      </c>
      <c r="D125" s="73" t="s">
        <v>6</v>
      </c>
      <c r="E125" s="73" t="s">
        <v>10</v>
      </c>
      <c r="I125" s="47"/>
      <c r="J125" s="11"/>
      <c r="K125" s="47"/>
    </row>
    <row r="126" spans="1:12" s="42" customFormat="1">
      <c r="A126" s="44" t="s">
        <v>19</v>
      </c>
      <c r="B126" s="46">
        <f>(((B112+B113)/2*$G$112+(B117+B118)/2*$G$117+(B122+B123)/2*$G$122))/($J$116)/$B$106</f>
        <v>649.54414842669132</v>
      </c>
      <c r="C126" s="46">
        <f t="shared" ref="C126:D126" si="3">(((C112+C113)/2*$G$112+(C117+C118)/2*$G$117+(C122+C123)/2*$G$122))/($J$116)/$B$106</f>
        <v>257.26347156692327</v>
      </c>
      <c r="D126" s="46">
        <f t="shared" si="3"/>
        <v>56.841321082691834</v>
      </c>
      <c r="E126" s="46">
        <f>B126+C126+D126</f>
        <v>963.64894107630641</v>
      </c>
      <c r="H126" s="61"/>
      <c r="I126" s="61"/>
    </row>
    <row r="129" spans="1:5" s="42" customFormat="1" ht="30">
      <c r="A129" s="74" t="s">
        <v>115</v>
      </c>
      <c r="B129" s="67" t="s">
        <v>78</v>
      </c>
      <c r="C129" s="67" t="s">
        <v>80</v>
      </c>
      <c r="D129" s="44" t="s">
        <v>81</v>
      </c>
      <c r="E129" s="67" t="s">
        <v>79</v>
      </c>
    </row>
    <row r="130" spans="1:5" s="42" customFormat="1">
      <c r="A130" s="56">
        <f>(J15*J16+J39*J40+J63*J64+J92*J93+J116*J117)/(J15+J39+J63+J92+J116)</f>
        <v>4991.3880445795339</v>
      </c>
      <c r="B130" s="63">
        <f>(B25*$J$15+B49*$J$39+B78*$J$63+B102*$J$92+B126*$J$116)/($J$15+$J$39+$J$63+$J$92+$J$116)</f>
        <v>405.71949747716775</v>
      </c>
      <c r="C130" s="63">
        <f t="shared" ref="C130:D130" si="4">(C25*$J$15+C49*$J$39+C78*$J$63+C102*$J$92+C126*$J$116)/($J$15+$J$39+$J$63+$J$92+$J$116)</f>
        <v>146.08972889467594</v>
      </c>
      <c r="D130" s="63">
        <f t="shared" si="4"/>
        <v>40.522142125534074</v>
      </c>
      <c r="E130" s="63">
        <f>B130+C130+D130</f>
        <v>592.33136849737775</v>
      </c>
    </row>
    <row r="131" spans="1:5" s="42" customFormat="1"/>
    <row r="132" spans="1:5" s="42" customFormat="1">
      <c r="A132" s="44" t="s">
        <v>83</v>
      </c>
      <c r="B132" s="68">
        <f>C130/E130</f>
        <v>0.24663513814113103</v>
      </c>
    </row>
  </sheetData>
  <mergeCells count="21">
    <mergeCell ref="G112:G113"/>
    <mergeCell ref="G117:G118"/>
    <mergeCell ref="G122:G123"/>
    <mergeCell ref="G74:G75"/>
    <mergeCell ref="B81:C81"/>
    <mergeCell ref="G88:G89"/>
    <mergeCell ref="G93:G94"/>
    <mergeCell ref="G98:G99"/>
    <mergeCell ref="B105:C105"/>
    <mergeCell ref="G69:G70"/>
    <mergeCell ref="B4:C4"/>
    <mergeCell ref="G11:G12"/>
    <mergeCell ref="G16:G17"/>
    <mergeCell ref="G21:G22"/>
    <mergeCell ref="B28:C28"/>
    <mergeCell ref="G35:G36"/>
    <mergeCell ref="G40:G41"/>
    <mergeCell ref="G45:G46"/>
    <mergeCell ref="B52:C52"/>
    <mergeCell ref="G59:G60"/>
    <mergeCell ref="G64:G6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L132"/>
  <sheetViews>
    <sheetView topLeftCell="A108" workbookViewId="0">
      <selection activeCell="B78" sqref="B78"/>
    </sheetView>
  </sheetViews>
  <sheetFormatPr baseColWidth="10" defaultRowHeight="15"/>
  <cols>
    <col min="1" max="1" width="19.42578125" bestFit="1" customWidth="1"/>
    <col min="7" max="7" width="16.140625" bestFit="1" customWidth="1"/>
  </cols>
  <sheetData>
    <row r="4" spans="1:12">
      <c r="A4" t="s">
        <v>9</v>
      </c>
      <c r="B4" s="126" t="s">
        <v>104</v>
      </c>
      <c r="C4" s="127"/>
      <c r="D4" s="23"/>
      <c r="E4" s="23"/>
      <c r="F4" s="23"/>
      <c r="G4" s="23"/>
    </row>
    <row r="5" spans="1:12">
      <c r="A5" t="s">
        <v>18</v>
      </c>
      <c r="B5" s="23">
        <v>768.78</v>
      </c>
      <c r="C5" s="23"/>
      <c r="D5" s="23"/>
      <c r="E5" s="23"/>
      <c r="F5" s="23"/>
      <c r="G5" s="23"/>
    </row>
    <row r="6" spans="1:12">
      <c r="A6" t="s">
        <v>11</v>
      </c>
      <c r="B6" s="25">
        <v>43413</v>
      </c>
      <c r="C6" s="23"/>
      <c r="D6" s="23"/>
      <c r="E6" s="23"/>
      <c r="F6" s="23"/>
      <c r="G6" s="23"/>
    </row>
    <row r="7" spans="1:12">
      <c r="A7" t="s">
        <v>12</v>
      </c>
      <c r="B7" s="25">
        <v>43432</v>
      </c>
      <c r="C7" s="23"/>
      <c r="D7" s="23"/>
      <c r="E7" s="23"/>
      <c r="F7" s="23"/>
      <c r="G7" s="23"/>
    </row>
    <row r="8" spans="1:12">
      <c r="B8" s="23"/>
      <c r="C8" s="23"/>
      <c r="D8" s="23"/>
      <c r="E8" s="23"/>
      <c r="F8" s="23"/>
      <c r="G8" s="23"/>
    </row>
    <row r="9" spans="1:12">
      <c r="A9" s="4" t="s">
        <v>1</v>
      </c>
      <c r="B9" s="23" t="s">
        <v>105</v>
      </c>
      <c r="C9" s="76"/>
      <c r="D9" s="23"/>
      <c r="E9" s="23"/>
      <c r="F9" s="23"/>
      <c r="G9" s="23"/>
    </row>
    <row r="10" spans="1:12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2">
      <c r="A11" s="4" t="s">
        <v>4</v>
      </c>
      <c r="B11" s="29">
        <v>217100</v>
      </c>
      <c r="C11" s="29">
        <v>75100</v>
      </c>
      <c r="D11" s="29">
        <v>21316</v>
      </c>
      <c r="E11" s="29">
        <f>B11+C11+D11</f>
        <v>313516</v>
      </c>
      <c r="F11" s="30" t="s">
        <v>14</v>
      </c>
      <c r="G11" s="125">
        <v>10</v>
      </c>
      <c r="K11" s="9"/>
    </row>
    <row r="12" spans="1:12">
      <c r="A12" s="4" t="s">
        <v>5</v>
      </c>
      <c r="B12" s="29">
        <v>217100</v>
      </c>
      <c r="C12" s="29">
        <v>75100</v>
      </c>
      <c r="D12" s="29">
        <v>21316</v>
      </c>
      <c r="E12" s="29">
        <f>B12+C12+D12</f>
        <v>313516</v>
      </c>
      <c r="F12" s="30" t="s">
        <v>14</v>
      </c>
      <c r="G12" s="125"/>
      <c r="K12" s="10"/>
    </row>
    <row r="13" spans="1:12">
      <c r="B13" s="23"/>
      <c r="C13" s="23"/>
      <c r="D13" s="23"/>
      <c r="E13" s="23"/>
      <c r="F13" s="23"/>
      <c r="G13" s="23"/>
      <c r="I13" s="3"/>
      <c r="J13" s="3"/>
      <c r="K13" s="12"/>
    </row>
    <row r="14" spans="1:12">
      <c r="A14" s="4" t="s">
        <v>1</v>
      </c>
      <c r="B14" s="76" t="s">
        <v>106</v>
      </c>
      <c r="C14" s="23"/>
      <c r="D14" s="23"/>
      <c r="E14" s="23"/>
      <c r="F14" s="23"/>
      <c r="G14" s="23"/>
      <c r="I14" s="3"/>
      <c r="J14" s="3"/>
      <c r="K14" s="2"/>
    </row>
    <row r="15" spans="1:12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15</v>
      </c>
      <c r="K15" s="3"/>
    </row>
    <row r="16" spans="1:12">
      <c r="A16" s="4" t="s">
        <v>4</v>
      </c>
      <c r="B16" s="29">
        <v>264300</v>
      </c>
      <c r="C16" s="80">
        <v>191400</v>
      </c>
      <c r="D16" s="80">
        <v>36015</v>
      </c>
      <c r="E16" s="29">
        <f>B16+C16+D16</f>
        <v>491715</v>
      </c>
      <c r="F16" s="30" t="s">
        <v>14</v>
      </c>
      <c r="G16" s="125">
        <v>1</v>
      </c>
      <c r="I16" s="54" t="s">
        <v>61</v>
      </c>
      <c r="J16" s="55">
        <f>(G11*100/(G11+G16+G21))^2+(G16*100/(G11+G16+G21))^2+(G21*100/(G11+G16+G21))^2</f>
        <v>5200.0000000000009</v>
      </c>
      <c r="K16" s="3"/>
      <c r="L16" s="9"/>
    </row>
    <row r="17" spans="1:12">
      <c r="A17" s="4" t="s">
        <v>5</v>
      </c>
      <c r="B17" s="29">
        <v>264300</v>
      </c>
      <c r="C17" s="80">
        <v>191400</v>
      </c>
      <c r="D17" s="80">
        <v>36015</v>
      </c>
      <c r="E17" s="29">
        <f>B17+C17+D17</f>
        <v>491715</v>
      </c>
      <c r="F17" s="30" t="s">
        <v>14</v>
      </c>
      <c r="G17" s="125"/>
      <c r="L17" s="10"/>
    </row>
    <row r="18" spans="1:12">
      <c r="B18" s="23"/>
      <c r="C18" s="23"/>
      <c r="D18" s="23"/>
      <c r="E18" s="23"/>
      <c r="F18" s="23"/>
      <c r="G18" s="23"/>
      <c r="K18" s="3"/>
      <c r="L18" s="3"/>
    </row>
    <row r="19" spans="1:12">
      <c r="A19" s="4" t="s">
        <v>1</v>
      </c>
      <c r="B19" s="81" t="s">
        <v>107</v>
      </c>
      <c r="C19" s="23"/>
      <c r="D19" s="23"/>
      <c r="E19" s="23"/>
      <c r="F19" s="23"/>
      <c r="G19" s="23"/>
      <c r="I19" s="9"/>
      <c r="K19" s="3"/>
      <c r="L19" s="3"/>
    </row>
    <row r="20" spans="1:12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I20" s="10"/>
      <c r="K20" s="3"/>
      <c r="L20" s="3"/>
    </row>
    <row r="21" spans="1:12">
      <c r="A21" s="4" t="s">
        <v>4</v>
      </c>
      <c r="B21" s="29">
        <v>160500</v>
      </c>
      <c r="C21" s="80">
        <v>76100</v>
      </c>
      <c r="D21" s="80">
        <v>28395</v>
      </c>
      <c r="E21" s="29">
        <f>B21+C21+D21</f>
        <v>264995</v>
      </c>
      <c r="F21" s="30" t="s">
        <v>14</v>
      </c>
      <c r="G21" s="125">
        <v>4</v>
      </c>
      <c r="I21" s="12"/>
      <c r="K21" s="14"/>
      <c r="L21" s="3"/>
    </row>
    <row r="22" spans="1:12">
      <c r="A22" s="4" t="s">
        <v>5</v>
      </c>
      <c r="B22" s="29">
        <v>160500</v>
      </c>
      <c r="C22" s="80">
        <v>76100</v>
      </c>
      <c r="D22" s="80">
        <v>28395</v>
      </c>
      <c r="E22" s="29">
        <f>B22+C22+D22</f>
        <v>264995</v>
      </c>
      <c r="F22" s="30" t="s">
        <v>14</v>
      </c>
      <c r="G22" s="125"/>
      <c r="I22" s="13"/>
      <c r="K22" s="12"/>
      <c r="L22" s="3"/>
    </row>
    <row r="23" spans="1:12">
      <c r="B23" s="23"/>
      <c r="C23" s="23"/>
      <c r="D23" s="23"/>
      <c r="E23" s="23"/>
      <c r="F23" s="23"/>
      <c r="G23" s="23"/>
    </row>
    <row r="24" spans="1:12" s="42" customFormat="1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 s="42" customFormat="1">
      <c r="A25" s="44" t="s">
        <v>19</v>
      </c>
      <c r="B25" s="46">
        <f>(((B11+B12)/2*$G$11+(B16+B17)/2*$G$16+(B21+B22)/2*$G$21))/($G$11+$G$16+$G$21)/$B$5</f>
        <v>266.85571077985037</v>
      </c>
      <c r="C25" s="46">
        <f>(((C11+C12)/2*$G$11+(C16+C17)/2*$G$16+(C21+C22)/2*$G$21)/($G$11+$G$16+$G$21))/$B$5</f>
        <v>108.11935794375505</v>
      </c>
      <c r="D25" s="46">
        <f>(((D11+D12)/2*$G$11+(D16+D17)/2*$G$16+(D21+D22)/2*$G$21)/($G$11+$G$16+$G$21))/$B$5</f>
        <v>31.457200586210188</v>
      </c>
      <c r="E25" s="46">
        <f>(((E11+E12)/2*$G$11+(E16+E17)/2*$G$16+(E21+E22)/2*$G$21)/($G$11+$G$16+$G$21))/$B$5</f>
        <v>406.43226930981558</v>
      </c>
      <c r="H25" s="61"/>
      <c r="I25" s="61"/>
    </row>
    <row r="26" spans="1:12">
      <c r="B26" s="23"/>
      <c r="C26" s="23"/>
      <c r="D26" s="23"/>
      <c r="E26" s="23"/>
      <c r="F26" s="23"/>
      <c r="G26" s="23"/>
    </row>
    <row r="27" spans="1:12">
      <c r="B27" s="23"/>
      <c r="C27" s="23"/>
      <c r="D27" s="23"/>
      <c r="E27" s="23"/>
      <c r="F27" s="23"/>
      <c r="G27" s="23"/>
    </row>
    <row r="28" spans="1:12">
      <c r="A28" t="s">
        <v>9</v>
      </c>
      <c r="B28" s="126" t="s">
        <v>108</v>
      </c>
      <c r="C28" s="127"/>
      <c r="D28" s="23"/>
      <c r="E28" s="23"/>
      <c r="F28" s="23"/>
      <c r="G28" s="23"/>
    </row>
    <row r="29" spans="1:12">
      <c r="A29" t="s">
        <v>18</v>
      </c>
      <c r="B29">
        <v>845.31</v>
      </c>
    </row>
    <row r="30" spans="1:12">
      <c r="A30" t="s">
        <v>11</v>
      </c>
      <c r="B30" s="1">
        <v>43413</v>
      </c>
    </row>
    <row r="31" spans="1:12">
      <c r="A31" t="s">
        <v>12</v>
      </c>
      <c r="B31" s="1">
        <v>43432</v>
      </c>
    </row>
    <row r="33" spans="1:12">
      <c r="A33" s="4" t="s">
        <v>1</v>
      </c>
      <c r="B33" s="76" t="s">
        <v>109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346000</v>
      </c>
      <c r="C35" s="29">
        <v>98300</v>
      </c>
      <c r="D35" s="29">
        <v>29400</v>
      </c>
      <c r="E35" s="29">
        <f>B35+C35+D35</f>
        <v>473700</v>
      </c>
      <c r="F35" s="30" t="s">
        <v>14</v>
      </c>
      <c r="G35" s="125">
        <v>4</v>
      </c>
    </row>
    <row r="36" spans="1:12">
      <c r="A36" s="4" t="s">
        <v>5</v>
      </c>
      <c r="B36" s="29">
        <v>371200</v>
      </c>
      <c r="C36" s="29">
        <v>102900</v>
      </c>
      <c r="D36" s="29">
        <v>29400</v>
      </c>
      <c r="E36" s="29">
        <f>B36+C36+D36</f>
        <v>503500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6" t="s">
        <v>105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12</v>
      </c>
      <c r="K39" s="3"/>
    </row>
    <row r="40" spans="1:12">
      <c r="A40" s="4" t="s">
        <v>4</v>
      </c>
      <c r="B40" s="29">
        <v>364900</v>
      </c>
      <c r="C40" s="29">
        <v>101700</v>
      </c>
      <c r="D40" s="29">
        <v>29400</v>
      </c>
      <c r="E40" s="29">
        <f>B40+C40+D40</f>
        <v>496000</v>
      </c>
      <c r="F40" s="30" t="s">
        <v>14</v>
      </c>
      <c r="G40" s="125">
        <v>8</v>
      </c>
      <c r="I40" s="54" t="s">
        <v>61</v>
      </c>
      <c r="J40" s="55">
        <f>(G35*100/(G35+G40+G45))^2+(G40*100/(G35+G40+G45))^2+(G45*100/(G35+G40+G45))^2</f>
        <v>5555.5555555555566</v>
      </c>
      <c r="L40" s="9"/>
    </row>
    <row r="41" spans="1:12">
      <c r="A41" s="4" t="s">
        <v>5</v>
      </c>
      <c r="B41" s="29">
        <v>692000</v>
      </c>
      <c r="C41" s="29">
        <v>160600</v>
      </c>
      <c r="D41" s="29">
        <v>29400</v>
      </c>
      <c r="E41" s="29">
        <f>B41+C41+D41</f>
        <v>882000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6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7" spans="1:12">
      <c r="B47" s="23"/>
      <c r="C47" s="23"/>
      <c r="D47" s="23"/>
      <c r="E47" s="23"/>
      <c r="F47" s="23"/>
      <c r="G47" s="23"/>
    </row>
    <row r="48" spans="1:12" s="42" customFormat="1">
      <c r="B48" s="78" t="s">
        <v>8</v>
      </c>
      <c r="C48" s="78" t="s">
        <v>7</v>
      </c>
      <c r="D48" s="78" t="s">
        <v>6</v>
      </c>
      <c r="E48" s="78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(((B35+B36)/2*$G$35+(B40+B41)/2*$G$40+(B45+B46)/2*$G$45))/($J$39)/$B$29</f>
        <v>558.17786768562223</v>
      </c>
      <c r="C49" s="46">
        <f t="shared" ref="C49:D49" si="0">(((C35+C36)/2*$G$35+(C40+C41)/2*$G$40+(C45+C46)/2*$G$45))/($J$39)/$B$29</f>
        <v>143.10331909792464</v>
      </c>
      <c r="D49" s="46">
        <f t="shared" si="0"/>
        <v>34.780139830358095</v>
      </c>
      <c r="E49" s="46">
        <f>B49+C49+D49</f>
        <v>736.06132661390495</v>
      </c>
      <c r="H49" s="61"/>
      <c r="I49" s="61"/>
    </row>
    <row r="52" spans="1:12">
      <c r="A52" t="s">
        <v>9</v>
      </c>
      <c r="B52" s="126" t="s">
        <v>110</v>
      </c>
      <c r="C52" s="127"/>
      <c r="D52" s="23"/>
      <c r="E52" s="23"/>
      <c r="F52" s="23"/>
      <c r="G52" s="23"/>
    </row>
    <row r="53" spans="1:12">
      <c r="A53" t="s">
        <v>18</v>
      </c>
      <c r="B53" s="23">
        <v>491.5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6" t="s">
        <v>106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248500</v>
      </c>
      <c r="C59" s="29">
        <v>188500</v>
      </c>
      <c r="D59" s="29">
        <v>36015</v>
      </c>
      <c r="E59" s="29">
        <f>B59+C59+D59</f>
        <v>473015</v>
      </c>
      <c r="F59" s="30" t="s">
        <v>14</v>
      </c>
      <c r="G59" s="125">
        <v>2</v>
      </c>
    </row>
    <row r="60" spans="1:12">
      <c r="A60" s="4" t="s">
        <v>5</v>
      </c>
      <c r="B60" s="29">
        <v>248500</v>
      </c>
      <c r="C60" s="29">
        <v>188500</v>
      </c>
      <c r="D60" s="29">
        <v>36015</v>
      </c>
      <c r="E60" s="29">
        <f>B60+C60+D60</f>
        <v>473015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6" t="s">
        <v>105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G59+G64+G69+G74</f>
        <v>8</v>
      </c>
      <c r="K63" s="3"/>
    </row>
    <row r="64" spans="1:12">
      <c r="A64" s="4" t="s">
        <v>4</v>
      </c>
      <c r="B64" s="29">
        <v>191900</v>
      </c>
      <c r="C64" s="29">
        <v>70600</v>
      </c>
      <c r="D64" s="29">
        <v>29400</v>
      </c>
      <c r="E64" s="29">
        <f>B64+C64+D64</f>
        <v>291900</v>
      </c>
      <c r="F64" s="30" t="s">
        <v>14</v>
      </c>
      <c r="G64" s="125">
        <v>3</v>
      </c>
      <c r="I64" s="54" t="s">
        <v>61</v>
      </c>
      <c r="J64" s="55">
        <f>(G59*100/(G59+G64+G69+G74))^2+(G64*100/(G59+G64+G69+G74))^2+(G69*100/(G59+G64+G69+G74))^2+(G74*100/J63)^2</f>
        <v>2812.5</v>
      </c>
      <c r="L64" s="9"/>
    </row>
    <row r="65" spans="1:12">
      <c r="A65" s="4" t="s">
        <v>5</v>
      </c>
      <c r="B65" s="29">
        <v>191900</v>
      </c>
      <c r="C65" s="29">
        <v>70600</v>
      </c>
      <c r="D65" s="29">
        <v>29400</v>
      </c>
      <c r="E65" s="29">
        <f>B65+C65+D65</f>
        <v>291900</v>
      </c>
      <c r="F65" s="30" t="s">
        <v>14</v>
      </c>
      <c r="G65" s="125"/>
      <c r="J65" s="9"/>
      <c r="L65" s="10"/>
    </row>
    <row r="66" spans="1:12">
      <c r="B66" s="23"/>
      <c r="C66" s="23"/>
      <c r="D66" s="23"/>
      <c r="E66" s="23"/>
      <c r="F66" s="23"/>
      <c r="G66" s="23"/>
      <c r="J66" s="10"/>
      <c r="K66" s="3"/>
      <c r="L66" s="3"/>
    </row>
    <row r="67" spans="1:12">
      <c r="A67" s="4" t="s">
        <v>1</v>
      </c>
      <c r="B67" s="81" t="s">
        <v>107</v>
      </c>
      <c r="C67" s="23"/>
      <c r="D67" s="23"/>
      <c r="E67" s="23"/>
      <c r="F67" s="23"/>
      <c r="G67" s="23"/>
      <c r="J67" s="10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J68" s="14"/>
      <c r="K68" s="3"/>
      <c r="L68" s="3"/>
    </row>
    <row r="69" spans="1:12">
      <c r="A69" s="4" t="s">
        <v>4</v>
      </c>
      <c r="B69" s="29">
        <v>151000</v>
      </c>
      <c r="C69" s="29">
        <v>74400</v>
      </c>
      <c r="D69" s="29">
        <v>28490</v>
      </c>
      <c r="E69" s="29">
        <f>B69+C69+D69</f>
        <v>253890</v>
      </c>
      <c r="F69" s="30" t="s">
        <v>14</v>
      </c>
      <c r="G69" s="125">
        <v>2</v>
      </c>
      <c r="J69" s="12"/>
      <c r="K69" s="3"/>
      <c r="L69" s="3"/>
    </row>
    <row r="70" spans="1:12">
      <c r="A70" s="4" t="s">
        <v>5</v>
      </c>
      <c r="B70" s="29">
        <v>151000</v>
      </c>
      <c r="C70" s="29">
        <v>74400</v>
      </c>
      <c r="D70" s="29">
        <v>28490</v>
      </c>
      <c r="E70" s="29">
        <f>B70+C70+D70</f>
        <v>253890</v>
      </c>
      <c r="F70" s="30" t="s">
        <v>14</v>
      </c>
      <c r="G70" s="125"/>
      <c r="J70" s="12"/>
      <c r="K70" s="3"/>
      <c r="L70" s="3"/>
    </row>
    <row r="71" spans="1:12">
      <c r="B71" s="23"/>
      <c r="C71" s="23"/>
      <c r="D71" s="23"/>
      <c r="E71" s="23"/>
      <c r="F71" s="23"/>
      <c r="G71" s="23"/>
      <c r="J71" s="13"/>
      <c r="K71" s="3"/>
      <c r="L71" s="3"/>
    </row>
    <row r="72" spans="1:12">
      <c r="A72" s="4" t="s">
        <v>1</v>
      </c>
      <c r="B72" s="81" t="s">
        <v>111</v>
      </c>
      <c r="C72" s="23"/>
      <c r="D72" s="23"/>
      <c r="E72" s="23"/>
      <c r="F72" s="23"/>
      <c r="G72" s="23"/>
      <c r="J72" s="12"/>
      <c r="K72" s="3"/>
      <c r="L72" s="3"/>
    </row>
    <row r="73" spans="1:12">
      <c r="A73" s="4" t="s">
        <v>3</v>
      </c>
      <c r="B73" s="28" t="s">
        <v>8</v>
      </c>
      <c r="C73" s="28" t="s">
        <v>7</v>
      </c>
      <c r="D73" s="28" t="s">
        <v>6</v>
      </c>
      <c r="E73" s="28" t="s">
        <v>10</v>
      </c>
      <c r="F73" s="28" t="s">
        <v>13</v>
      </c>
      <c r="G73" s="28" t="s">
        <v>15</v>
      </c>
      <c r="J73" s="13"/>
      <c r="K73" s="3"/>
      <c r="L73" s="3"/>
    </row>
    <row r="74" spans="1:12">
      <c r="A74" s="4" t="s">
        <v>4</v>
      </c>
      <c r="B74" s="29">
        <v>204500</v>
      </c>
      <c r="C74" s="29">
        <v>72900</v>
      </c>
      <c r="D74" s="29">
        <v>36015</v>
      </c>
      <c r="E74" s="29">
        <f>B74+C74+D74</f>
        <v>313415</v>
      </c>
      <c r="F74" s="30" t="s">
        <v>14</v>
      </c>
      <c r="G74" s="125">
        <v>1</v>
      </c>
      <c r="K74" s="14"/>
      <c r="L74" s="3"/>
    </row>
    <row r="75" spans="1:12">
      <c r="A75" s="4" t="s">
        <v>5</v>
      </c>
      <c r="B75" s="29">
        <v>204500</v>
      </c>
      <c r="C75" s="29">
        <v>72900</v>
      </c>
      <c r="D75" s="29">
        <v>36015</v>
      </c>
      <c r="E75" s="29">
        <f>B75+C75+D75</f>
        <v>313415</v>
      </c>
      <c r="F75" s="30" t="s">
        <v>14</v>
      </c>
      <c r="G75" s="125"/>
      <c r="K75" s="12"/>
      <c r="L75" s="3"/>
    </row>
    <row r="77" spans="1:12" s="42" customFormat="1">
      <c r="B77" s="78" t="s">
        <v>8</v>
      </c>
      <c r="C77" s="78" t="s">
        <v>7</v>
      </c>
      <c r="D77" s="78" t="s">
        <v>6</v>
      </c>
      <c r="E77" s="78" t="s">
        <v>10</v>
      </c>
      <c r="I77" s="47"/>
      <c r="J77" s="11"/>
      <c r="K77" s="47"/>
    </row>
    <row r="78" spans="1:12" s="42" customFormat="1">
      <c r="A78" s="44" t="s">
        <v>19</v>
      </c>
      <c r="B78" s="46">
        <f>(((B64+B65)/2*$G$64+(B69+B70)/2*$G$69+(B74+B75)/2*$G$74+(B59+B60)/2*$G$59))/($J$63)/$B$53</f>
        <v>401.62767039674463</v>
      </c>
      <c r="C78" s="46">
        <f t="shared" ref="C78:D78" si="1">(((C64+C65)/2*$G$64+(C69+C70)/2*$G$69+(C74+C75)/2*$G$74+(C59+C60)/2*$G$59))/($J$63)/$B$53</f>
        <v>206.1291963377416</v>
      </c>
      <c r="D78" s="46">
        <f t="shared" si="1"/>
        <v>64.401068158697868</v>
      </c>
      <c r="E78" s="46">
        <f>B78+C78+D78</f>
        <v>672.15793489318412</v>
      </c>
      <c r="H78" s="61"/>
      <c r="I78" s="61"/>
    </row>
    <row r="81" spans="1:12">
      <c r="A81" t="s">
        <v>9</v>
      </c>
      <c r="B81" s="126" t="s">
        <v>112</v>
      </c>
      <c r="C81" s="127"/>
      <c r="D81" s="23"/>
      <c r="E81" s="23"/>
      <c r="F81" s="23"/>
      <c r="G81" s="23"/>
    </row>
    <row r="82" spans="1:12">
      <c r="A82" t="s">
        <v>18</v>
      </c>
      <c r="B82" s="23">
        <v>1014.47</v>
      </c>
      <c r="C82" s="23"/>
      <c r="D82" s="23"/>
      <c r="E82" s="23"/>
      <c r="F82" s="23"/>
      <c r="G82" s="23"/>
    </row>
    <row r="83" spans="1:12">
      <c r="A83" t="s">
        <v>11</v>
      </c>
      <c r="B83" s="25">
        <v>43413</v>
      </c>
      <c r="C83" s="23"/>
      <c r="D83" s="23"/>
      <c r="E83" s="23"/>
      <c r="F83" s="23"/>
      <c r="G83" s="23"/>
    </row>
    <row r="84" spans="1:12">
      <c r="A84" t="s">
        <v>12</v>
      </c>
      <c r="B84" s="25">
        <v>43432</v>
      </c>
      <c r="C84" s="23"/>
      <c r="D84" s="23"/>
      <c r="E84" s="23"/>
      <c r="F84" s="23"/>
      <c r="G84" s="23"/>
    </row>
    <row r="85" spans="1:12">
      <c r="B85" s="23"/>
      <c r="C85" s="23"/>
      <c r="D85" s="23"/>
      <c r="E85" s="23"/>
      <c r="F85" s="23"/>
      <c r="G85" s="23"/>
    </row>
    <row r="86" spans="1:12">
      <c r="A86" s="4" t="s">
        <v>1</v>
      </c>
      <c r="B86" s="76" t="s">
        <v>113</v>
      </c>
      <c r="C86" s="23"/>
      <c r="D86" s="23"/>
      <c r="E86" s="23"/>
      <c r="F86" s="23"/>
      <c r="G86" s="23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</row>
    <row r="88" spans="1:12">
      <c r="A88" s="4" t="s">
        <v>4</v>
      </c>
      <c r="B88" s="29">
        <v>261100</v>
      </c>
      <c r="C88" s="29">
        <v>83000</v>
      </c>
      <c r="D88" s="29">
        <v>29400</v>
      </c>
      <c r="E88" s="29">
        <f>B88+C88+D88</f>
        <v>373500</v>
      </c>
      <c r="F88" s="30" t="s">
        <v>14</v>
      </c>
      <c r="G88" s="125">
        <v>5</v>
      </c>
    </row>
    <row r="89" spans="1:12">
      <c r="A89" s="4" t="s">
        <v>5</v>
      </c>
      <c r="B89" s="29">
        <v>261100</v>
      </c>
      <c r="C89" s="29">
        <v>83000</v>
      </c>
      <c r="D89" s="29">
        <v>29400</v>
      </c>
      <c r="E89" s="29">
        <f>B89+C89+D89</f>
        <v>373500</v>
      </c>
      <c r="F89" s="30" t="s">
        <v>14</v>
      </c>
      <c r="G89" s="125"/>
    </row>
    <row r="90" spans="1:12">
      <c r="B90" s="23"/>
      <c r="C90" s="23"/>
      <c r="D90" s="23"/>
      <c r="E90" s="23"/>
      <c r="F90" s="23"/>
      <c r="G90" s="23"/>
      <c r="K90" s="82"/>
    </row>
    <row r="91" spans="1:12">
      <c r="A91" s="4" t="s">
        <v>1</v>
      </c>
      <c r="B91" s="81" t="s">
        <v>107</v>
      </c>
      <c r="C91" s="23"/>
      <c r="D91" s="23"/>
      <c r="E91" s="23"/>
      <c r="F91" s="23"/>
      <c r="G91" s="23"/>
      <c r="K91" s="2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I92" s="57" t="s">
        <v>63</v>
      </c>
      <c r="J92" s="12">
        <f>G88+G93+G98</f>
        <v>7</v>
      </c>
      <c r="K92" s="3"/>
    </row>
    <row r="93" spans="1:12">
      <c r="A93" s="4" t="s">
        <v>4</v>
      </c>
      <c r="B93" s="29">
        <v>314600</v>
      </c>
      <c r="C93" s="29">
        <v>92700</v>
      </c>
      <c r="D93" s="29">
        <v>36015</v>
      </c>
      <c r="E93" s="29">
        <f>B93+C93+D93</f>
        <v>443315</v>
      </c>
      <c r="F93" s="30" t="s">
        <v>14</v>
      </c>
      <c r="G93" s="125">
        <v>2</v>
      </c>
      <c r="I93" s="54" t="s">
        <v>61</v>
      </c>
      <c r="J93" s="55">
        <f>(G88*100/(G88+G93+G98))^2+(G93*100/(G88+G93+G98))^2+(G98*100/(G88+G93+G98))^2</f>
        <v>5918.3673469387759</v>
      </c>
      <c r="L93" s="9"/>
    </row>
    <row r="94" spans="1:12">
      <c r="A94" s="4" t="s">
        <v>5</v>
      </c>
      <c r="B94" s="29">
        <v>314600</v>
      </c>
      <c r="C94" s="29">
        <v>92700</v>
      </c>
      <c r="D94" s="29">
        <v>36015</v>
      </c>
      <c r="E94" s="29">
        <f>B94+C94+D94</f>
        <v>443315</v>
      </c>
      <c r="F94" s="30" t="s">
        <v>14</v>
      </c>
      <c r="G94" s="125"/>
      <c r="L94" s="10"/>
    </row>
    <row r="95" spans="1:12">
      <c r="B95" s="23"/>
      <c r="C95" s="23"/>
      <c r="D95" s="23"/>
      <c r="E95" s="23"/>
      <c r="F95" s="23"/>
      <c r="G95" s="23"/>
      <c r="K95" s="3"/>
      <c r="L95" s="3"/>
    </row>
    <row r="96" spans="1:12">
      <c r="A96" s="4" t="s">
        <v>1</v>
      </c>
      <c r="B96" s="76"/>
      <c r="C96" s="23"/>
      <c r="D96" s="23"/>
      <c r="E96" s="23"/>
      <c r="F96" s="23"/>
      <c r="G96" s="23"/>
      <c r="K96" s="3"/>
      <c r="L96" s="3"/>
    </row>
    <row r="97" spans="1:12">
      <c r="A97" s="4" t="s">
        <v>3</v>
      </c>
      <c r="B97" s="28" t="s">
        <v>8</v>
      </c>
      <c r="C97" s="28" t="s">
        <v>7</v>
      </c>
      <c r="D97" s="28" t="s">
        <v>6</v>
      </c>
      <c r="E97" s="28" t="s">
        <v>10</v>
      </c>
      <c r="F97" s="28" t="s">
        <v>13</v>
      </c>
      <c r="G97" s="28" t="s">
        <v>15</v>
      </c>
      <c r="K97" s="3"/>
      <c r="L97" s="3"/>
    </row>
    <row r="98" spans="1:12">
      <c r="A98" s="4" t="s">
        <v>4</v>
      </c>
      <c r="B98" s="29"/>
      <c r="C98" s="29"/>
      <c r="D98" s="29"/>
      <c r="E98" s="29">
        <f>B98+C98+D98</f>
        <v>0</v>
      </c>
      <c r="F98" s="30" t="s">
        <v>14</v>
      </c>
      <c r="G98" s="125"/>
      <c r="K98" s="14"/>
      <c r="L98" s="3"/>
    </row>
    <row r="99" spans="1:12">
      <c r="A99" s="4" t="s">
        <v>5</v>
      </c>
      <c r="B99" s="29"/>
      <c r="C99" s="29"/>
      <c r="D99" s="29"/>
      <c r="E99" s="29">
        <f>B99+C99+D99</f>
        <v>0</v>
      </c>
      <c r="F99" s="30" t="s">
        <v>14</v>
      </c>
      <c r="G99" s="125"/>
      <c r="K99" s="12"/>
      <c r="L99" s="3"/>
    </row>
    <row r="101" spans="1:12" s="42" customFormat="1">
      <c r="B101" s="78" t="s">
        <v>8</v>
      </c>
      <c r="C101" s="78" t="s">
        <v>7</v>
      </c>
      <c r="D101" s="78" t="s">
        <v>6</v>
      </c>
      <c r="E101" s="78" t="s">
        <v>10</v>
      </c>
      <c r="I101" s="47"/>
      <c r="J101" s="11"/>
      <c r="K101" s="47"/>
    </row>
    <row r="102" spans="1:12" s="42" customFormat="1">
      <c r="A102" s="44" t="s">
        <v>19</v>
      </c>
      <c r="B102" s="46">
        <f>(((B88+B89)/2*$G$88+(B93+B94)/2*$G$93+(B98+B99)/2*$G$98))/($J$92)/$B$82</f>
        <v>272.44345745632131</v>
      </c>
      <c r="C102" s="46">
        <f t="shared" ref="C102:D102" si="2">(((C88+C89)/2*$G$88+(C93+C94)/2*$G$93+(C98+C99)/2*$G$98))/($J$92)/$B$82</f>
        <v>84.548018740257049</v>
      </c>
      <c r="D102" s="46">
        <f t="shared" si="2"/>
        <v>30.843691779944205</v>
      </c>
      <c r="E102" s="46">
        <f>B102+C102+D102</f>
        <v>387.83516797652254</v>
      </c>
      <c r="H102" s="61"/>
      <c r="I102" s="61"/>
    </row>
    <row r="105" spans="1:12">
      <c r="A105" t="s">
        <v>9</v>
      </c>
      <c r="B105" s="126" t="s">
        <v>114</v>
      </c>
      <c r="C105" s="127"/>
      <c r="D105" s="23"/>
      <c r="E105" s="23"/>
      <c r="F105" s="23"/>
      <c r="G105" s="23"/>
    </row>
    <row r="106" spans="1:12">
      <c r="A106" t="s">
        <v>18</v>
      </c>
      <c r="B106" s="23">
        <v>563.78</v>
      </c>
      <c r="C106" s="23"/>
      <c r="D106" s="23"/>
      <c r="E106" s="23"/>
      <c r="F106" s="23"/>
      <c r="G106" s="23"/>
    </row>
    <row r="107" spans="1:12">
      <c r="A107" t="s">
        <v>11</v>
      </c>
      <c r="B107" s="25">
        <v>43413</v>
      </c>
      <c r="C107" s="23"/>
      <c r="D107" s="23"/>
      <c r="E107" s="23"/>
      <c r="F107" s="23"/>
      <c r="G107" s="23"/>
    </row>
    <row r="108" spans="1:12">
      <c r="A108" t="s">
        <v>12</v>
      </c>
      <c r="B108" s="25">
        <v>43432</v>
      </c>
      <c r="C108" s="23"/>
      <c r="D108" s="23"/>
      <c r="E108" s="23"/>
      <c r="F108" s="23"/>
      <c r="G108" s="23"/>
    </row>
    <row r="109" spans="1:12">
      <c r="B109" s="23"/>
      <c r="C109" s="23"/>
      <c r="D109" s="23"/>
      <c r="E109" s="23"/>
      <c r="F109" s="23"/>
      <c r="G109" s="23"/>
    </row>
    <row r="110" spans="1:12">
      <c r="A110" s="4" t="s">
        <v>1</v>
      </c>
      <c r="B110" s="76" t="s">
        <v>106</v>
      </c>
      <c r="C110" s="23"/>
      <c r="D110" s="23"/>
      <c r="E110" s="23"/>
      <c r="F110" s="23"/>
      <c r="G110" s="23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</row>
    <row r="112" spans="1:12">
      <c r="A112" s="4" t="s">
        <v>4</v>
      </c>
      <c r="B112" s="29">
        <v>405800</v>
      </c>
      <c r="C112" s="29">
        <v>216800</v>
      </c>
      <c r="D112" s="29">
        <v>36015</v>
      </c>
      <c r="E112" s="29">
        <f>B112+C112+D112</f>
        <v>658615</v>
      </c>
      <c r="F112" s="30" t="s">
        <v>14</v>
      </c>
      <c r="G112" s="125">
        <v>2</v>
      </c>
    </row>
    <row r="113" spans="1:12">
      <c r="A113" s="4" t="s">
        <v>5</v>
      </c>
      <c r="B113" s="29">
        <v>405800</v>
      </c>
      <c r="C113" s="29">
        <v>216800</v>
      </c>
      <c r="D113" s="29">
        <v>36015</v>
      </c>
      <c r="E113" s="29">
        <f>B113+C113+D113</f>
        <v>658615</v>
      </c>
      <c r="F113" s="30" t="s">
        <v>14</v>
      </c>
      <c r="G113" s="125"/>
    </row>
    <row r="114" spans="1:12">
      <c r="B114" s="23"/>
      <c r="C114" s="23"/>
      <c r="D114" s="23"/>
      <c r="E114" s="23"/>
      <c r="F114" s="23"/>
      <c r="G114" s="23"/>
      <c r="K114" s="82"/>
    </row>
    <row r="115" spans="1:12">
      <c r="A115" s="4" t="s">
        <v>1</v>
      </c>
      <c r="B115" s="76"/>
      <c r="C115" s="23"/>
      <c r="D115" s="23"/>
      <c r="E115" s="23"/>
      <c r="F115" s="23"/>
      <c r="G115" s="23"/>
      <c r="K115" s="2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I116" s="57" t="s">
        <v>63</v>
      </c>
      <c r="J116" s="12">
        <f>G112+G117+G122</f>
        <v>5</v>
      </c>
      <c r="K116" s="3"/>
    </row>
    <row r="117" spans="1:12">
      <c r="A117" s="4" t="s">
        <v>4</v>
      </c>
      <c r="B117" s="29">
        <v>339800</v>
      </c>
      <c r="C117" s="29">
        <v>97200</v>
      </c>
      <c r="D117" s="29">
        <v>29400</v>
      </c>
      <c r="E117" s="29">
        <f>B117+C117+D117</f>
        <v>466400</v>
      </c>
      <c r="F117" s="30" t="s">
        <v>14</v>
      </c>
      <c r="G117" s="125">
        <v>3</v>
      </c>
      <c r="I117" s="54" t="s">
        <v>61</v>
      </c>
      <c r="J117" s="55">
        <f>(G112*100/(G112+G117+G122))^2+(G117*100/(G112+G117+G122))^2+(G122*100/(G112+G117+G122))^2</f>
        <v>5200</v>
      </c>
      <c r="L117" s="9"/>
    </row>
    <row r="118" spans="1:12">
      <c r="A118" s="4" t="s">
        <v>5</v>
      </c>
      <c r="B118" s="29">
        <v>339800</v>
      </c>
      <c r="C118" s="29">
        <v>97200</v>
      </c>
      <c r="D118" s="29">
        <v>29400</v>
      </c>
      <c r="E118" s="29">
        <f>B118+C118+D118</f>
        <v>466400</v>
      </c>
      <c r="F118" s="30" t="s">
        <v>14</v>
      </c>
      <c r="G118" s="125"/>
      <c r="L118" s="10"/>
    </row>
    <row r="119" spans="1:12">
      <c r="B119" s="23"/>
      <c r="C119" s="23"/>
      <c r="D119" s="23"/>
      <c r="E119" s="23"/>
      <c r="F119" s="23"/>
      <c r="G119" s="23"/>
      <c r="K119" s="3"/>
      <c r="L119" s="3"/>
    </row>
    <row r="120" spans="1:12">
      <c r="A120" s="4" t="s">
        <v>1</v>
      </c>
      <c r="B120" s="76"/>
      <c r="C120" s="23"/>
      <c r="D120" s="23"/>
      <c r="E120" s="23"/>
      <c r="F120" s="23"/>
      <c r="G120" s="23"/>
      <c r="K120" s="3"/>
      <c r="L120" s="3"/>
    </row>
    <row r="121" spans="1:12">
      <c r="A121" s="4" t="s">
        <v>3</v>
      </c>
      <c r="B121" s="28" t="s">
        <v>8</v>
      </c>
      <c r="C121" s="28" t="s">
        <v>7</v>
      </c>
      <c r="D121" s="28" t="s">
        <v>6</v>
      </c>
      <c r="E121" s="28" t="s">
        <v>10</v>
      </c>
      <c r="F121" s="28" t="s">
        <v>13</v>
      </c>
      <c r="G121" s="28" t="s">
        <v>15</v>
      </c>
      <c r="K121" s="3"/>
      <c r="L121" s="3"/>
    </row>
    <row r="122" spans="1:12">
      <c r="A122" s="4" t="s">
        <v>4</v>
      </c>
      <c r="B122" s="29"/>
      <c r="C122" s="29"/>
      <c r="D122" s="29"/>
      <c r="E122" s="29">
        <f>B122+C122+D122</f>
        <v>0</v>
      </c>
      <c r="F122" s="30" t="s">
        <v>14</v>
      </c>
      <c r="G122" s="125"/>
      <c r="K122" s="14"/>
      <c r="L122" s="3"/>
    </row>
    <row r="123" spans="1:12">
      <c r="A123" s="4" t="s">
        <v>5</v>
      </c>
      <c r="B123" s="29"/>
      <c r="C123" s="29"/>
      <c r="D123" s="29"/>
      <c r="E123" s="29">
        <f>B123+C123+D123</f>
        <v>0</v>
      </c>
      <c r="F123" s="30" t="s">
        <v>14</v>
      </c>
      <c r="G123" s="125"/>
      <c r="K123" s="12"/>
      <c r="L123" s="3"/>
    </row>
    <row r="125" spans="1:12" s="42" customFormat="1">
      <c r="B125" s="78" t="s">
        <v>8</v>
      </c>
      <c r="C125" s="78" t="s">
        <v>7</v>
      </c>
      <c r="D125" s="78" t="s">
        <v>6</v>
      </c>
      <c r="E125" s="78" t="s">
        <v>10</v>
      </c>
      <c r="I125" s="47"/>
      <c r="J125" s="11"/>
      <c r="K125" s="47"/>
    </row>
    <row r="126" spans="1:12" s="42" customFormat="1">
      <c r="A126" s="44" t="s">
        <v>19</v>
      </c>
      <c r="B126" s="46">
        <f>(((B112+B113)/2*$G$112+(B117+B118)/2*$G$117+(B122+B123)/2*$G$122))/($J$116)/$B$106</f>
        <v>649.54414842669132</v>
      </c>
      <c r="C126" s="46">
        <f t="shared" ref="C126:D126" si="3">(((C112+C113)/2*$G$112+(C117+C118)/2*$G$117+(C122+C123)/2*$G$122))/($J$116)/$B$106</f>
        <v>257.26347156692327</v>
      </c>
      <c r="D126" s="46">
        <f t="shared" si="3"/>
        <v>56.841321082691834</v>
      </c>
      <c r="E126" s="46">
        <f>B126+C126+D126</f>
        <v>963.64894107630641</v>
      </c>
      <c r="H126" s="61"/>
      <c r="I126" s="61"/>
    </row>
    <row r="129" spans="1:5" s="42" customFormat="1" ht="30">
      <c r="A129" s="77" t="s">
        <v>115</v>
      </c>
      <c r="B129" s="67" t="s">
        <v>78</v>
      </c>
      <c r="C129" s="67" t="s">
        <v>80</v>
      </c>
      <c r="D129" s="44" t="s">
        <v>81</v>
      </c>
      <c r="E129" s="67" t="s">
        <v>79</v>
      </c>
    </row>
    <row r="130" spans="1:5" s="42" customFormat="1">
      <c r="A130" s="56">
        <f>(J15*J16+J39*J40+J63*J64+J92*J93+J116*J117)/(J15+J39+J63+J92+J116)</f>
        <v>4991.3880445795339</v>
      </c>
      <c r="B130" s="63">
        <f>(B25*$J$15+B49*$J$39+B78*$J$63+B102*$J$92+B126*$J$116)/($J$15+$J$39+$J$63+$J$92+$J$116)</f>
        <v>405.71949747716775</v>
      </c>
      <c r="C130" s="63">
        <f t="shared" ref="C130:D130" si="4">(C25*$J$15+C49*$J$39+C78*$J$63+C102*$J$92+C126*$J$116)/($J$15+$J$39+$J$63+$J$92+$J$116)</f>
        <v>146.08972889467594</v>
      </c>
      <c r="D130" s="63">
        <f t="shared" si="4"/>
        <v>40.522142125534074</v>
      </c>
      <c r="E130" s="63">
        <f>B130+C130+D130</f>
        <v>592.33136849737775</v>
      </c>
    </row>
    <row r="131" spans="1:5" s="42" customFormat="1"/>
    <row r="132" spans="1:5" s="42" customFormat="1">
      <c r="A132" s="44" t="s">
        <v>83</v>
      </c>
      <c r="B132" s="68">
        <f>C130/E130</f>
        <v>0.24663513814113103</v>
      </c>
    </row>
  </sheetData>
  <mergeCells count="21">
    <mergeCell ref="G69:G70"/>
    <mergeCell ref="B4:C4"/>
    <mergeCell ref="G11:G12"/>
    <mergeCell ref="G16:G17"/>
    <mergeCell ref="G21:G22"/>
    <mergeCell ref="B28:C28"/>
    <mergeCell ref="G35:G36"/>
    <mergeCell ref="G40:G41"/>
    <mergeCell ref="G45:G46"/>
    <mergeCell ref="B52:C52"/>
    <mergeCell ref="G59:G60"/>
    <mergeCell ref="G64:G65"/>
    <mergeCell ref="G112:G113"/>
    <mergeCell ref="G117:G118"/>
    <mergeCell ref="G122:G123"/>
    <mergeCell ref="G74:G75"/>
    <mergeCell ref="B81:C81"/>
    <mergeCell ref="G88:G89"/>
    <mergeCell ref="G93:G94"/>
    <mergeCell ref="G98:G99"/>
    <mergeCell ref="B105:C10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L130"/>
  <sheetViews>
    <sheetView topLeftCell="A124" workbookViewId="0">
      <selection activeCell="A131" sqref="A131"/>
    </sheetView>
  </sheetViews>
  <sheetFormatPr baseColWidth="10" defaultRowHeight="15"/>
  <cols>
    <col min="1" max="1" width="19.42578125" bestFit="1" customWidth="1"/>
    <col min="2" max="2" width="15" customWidth="1"/>
    <col min="7" max="7" width="16.140625" bestFit="1" customWidth="1"/>
  </cols>
  <sheetData>
    <row r="4" spans="1:12">
      <c r="A4" s="23" t="s">
        <v>9</v>
      </c>
      <c r="B4" s="23" t="s">
        <v>20</v>
      </c>
      <c r="C4" s="23"/>
      <c r="D4" s="23"/>
      <c r="E4" s="23"/>
      <c r="F4" s="23"/>
      <c r="G4" s="23"/>
    </row>
    <row r="5" spans="1:12">
      <c r="A5" s="23" t="s">
        <v>18</v>
      </c>
      <c r="B5" s="23">
        <v>918.7</v>
      </c>
      <c r="C5" s="23"/>
      <c r="D5" s="23"/>
      <c r="E5" s="23"/>
      <c r="F5" s="23"/>
      <c r="G5" s="23"/>
    </row>
    <row r="6" spans="1:12">
      <c r="A6" s="23" t="s">
        <v>11</v>
      </c>
      <c r="B6" s="25">
        <v>43365</v>
      </c>
      <c r="C6" s="23"/>
      <c r="D6" s="23"/>
      <c r="E6" s="23"/>
      <c r="F6" s="23"/>
      <c r="G6" s="23"/>
    </row>
    <row r="7" spans="1:12">
      <c r="A7" s="23" t="s">
        <v>12</v>
      </c>
      <c r="B7" s="25">
        <v>43369</v>
      </c>
      <c r="C7" s="23"/>
      <c r="D7" s="23"/>
      <c r="E7" s="23"/>
      <c r="F7" s="23"/>
      <c r="G7" s="23"/>
    </row>
    <row r="8" spans="1:12">
      <c r="A8" s="23"/>
      <c r="B8" s="25"/>
      <c r="C8" s="23"/>
      <c r="D8" s="23"/>
      <c r="E8" s="23"/>
      <c r="F8" s="23"/>
      <c r="G8" s="23"/>
    </row>
    <row r="9" spans="1:12">
      <c r="A9" s="26" t="s">
        <v>1</v>
      </c>
      <c r="B9" s="27" t="s">
        <v>21</v>
      </c>
      <c r="C9" s="23"/>
      <c r="D9" s="23"/>
      <c r="E9" s="23"/>
      <c r="F9" s="23"/>
      <c r="G9" s="23"/>
    </row>
    <row r="10" spans="1:12">
      <c r="A10" s="26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  <c r="J10" s="9"/>
      <c r="K10" s="16"/>
    </row>
    <row r="11" spans="1:12">
      <c r="A11" s="26" t="s">
        <v>4</v>
      </c>
      <c r="B11" s="29">
        <v>482300</v>
      </c>
      <c r="C11" s="29">
        <v>22600</v>
      </c>
      <c r="D11" s="29">
        <v>29400</v>
      </c>
      <c r="E11" s="29">
        <f>B11+C11+D11</f>
        <v>534300</v>
      </c>
      <c r="F11" s="30" t="s">
        <v>14</v>
      </c>
      <c r="G11" s="125">
        <v>6</v>
      </c>
      <c r="J11" s="10"/>
      <c r="K11" s="16"/>
    </row>
    <row r="12" spans="1:12">
      <c r="A12" s="26" t="s">
        <v>5</v>
      </c>
      <c r="B12" s="29">
        <v>723500</v>
      </c>
      <c r="C12" s="29">
        <v>23000</v>
      </c>
      <c r="D12" s="29">
        <v>45141</v>
      </c>
      <c r="E12" s="29">
        <f>B12+C12+D12</f>
        <v>791641</v>
      </c>
      <c r="F12" s="30" t="s">
        <v>14</v>
      </c>
      <c r="G12" s="125"/>
      <c r="I12" s="16"/>
      <c r="J12" s="17"/>
      <c r="K12" s="16"/>
    </row>
    <row r="13" spans="1:12">
      <c r="A13" s="23"/>
      <c r="B13" s="23"/>
      <c r="C13" s="23"/>
      <c r="D13" s="23"/>
      <c r="E13" s="23"/>
      <c r="F13" s="23"/>
      <c r="G13" s="23"/>
      <c r="I13" s="16"/>
      <c r="J13" s="24"/>
      <c r="K13" s="18"/>
    </row>
    <row r="14" spans="1:12">
      <c r="A14" s="26" t="s">
        <v>1</v>
      </c>
      <c r="B14" s="27" t="s">
        <v>17</v>
      </c>
      <c r="C14" s="23"/>
      <c r="D14" s="23"/>
      <c r="E14" s="23"/>
      <c r="F14" s="23"/>
      <c r="G14" s="23"/>
      <c r="I14" s="16"/>
      <c r="J14" s="17"/>
      <c r="K14" s="18"/>
    </row>
    <row r="15" spans="1:12">
      <c r="A15" s="26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5">
        <f>G11+G16+G21</f>
        <v>15</v>
      </c>
      <c r="K15" s="15"/>
      <c r="L15" s="3"/>
    </row>
    <row r="16" spans="1:12">
      <c r="A16" s="26" t="s">
        <v>4</v>
      </c>
      <c r="B16" s="29">
        <v>506400</v>
      </c>
      <c r="C16" s="29">
        <v>22600</v>
      </c>
      <c r="D16" s="29">
        <v>28366</v>
      </c>
      <c r="E16" s="29">
        <f>B16+C16+D16</f>
        <v>557366</v>
      </c>
      <c r="F16" s="30" t="s">
        <v>14</v>
      </c>
      <c r="G16" s="125">
        <v>9</v>
      </c>
      <c r="I16" s="54" t="s">
        <v>61</v>
      </c>
      <c r="J16" s="12">
        <f>(G11*100/(G11+G16+G21))^2+(G16*100/(G11+G16+G21))^2+(G21*100/(G11+G16+G21))^2</f>
        <v>5200</v>
      </c>
      <c r="K16" s="17"/>
      <c r="L16" s="14"/>
    </row>
    <row r="17" spans="1:12">
      <c r="A17" s="26" t="s">
        <v>5</v>
      </c>
      <c r="B17" s="29">
        <v>865100</v>
      </c>
      <c r="C17" s="29">
        <v>23000</v>
      </c>
      <c r="D17" s="29">
        <v>47485</v>
      </c>
      <c r="E17" s="29">
        <f>B17+C17+D17</f>
        <v>935585</v>
      </c>
      <c r="F17" s="30" t="s">
        <v>14</v>
      </c>
      <c r="G17" s="125"/>
      <c r="I17" s="17"/>
      <c r="J17" s="17"/>
      <c r="K17" s="17"/>
      <c r="L17" s="12"/>
    </row>
    <row r="18" spans="1:12">
      <c r="A18" s="23"/>
      <c r="B18" s="23"/>
      <c r="C18" s="23"/>
      <c r="D18" s="23"/>
      <c r="E18" s="23"/>
      <c r="F18" s="23"/>
      <c r="G18" s="23"/>
      <c r="I18" s="24"/>
      <c r="J18" s="24"/>
      <c r="K18" s="24"/>
      <c r="L18" s="3"/>
    </row>
    <row r="19" spans="1:12">
      <c r="A19" s="26" t="s">
        <v>1</v>
      </c>
      <c r="B19" s="27"/>
      <c r="C19" s="23"/>
      <c r="D19" s="23"/>
      <c r="E19" s="23"/>
      <c r="F19" s="23"/>
      <c r="G19" s="23"/>
      <c r="J19" s="3"/>
      <c r="K19" s="3"/>
      <c r="L19" s="3"/>
    </row>
    <row r="20" spans="1:12">
      <c r="A20" s="26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K20" s="3"/>
      <c r="L20" s="3"/>
    </row>
    <row r="21" spans="1:12">
      <c r="A21" s="26" t="s">
        <v>4</v>
      </c>
      <c r="B21" s="29"/>
      <c r="C21" s="29"/>
      <c r="D21" s="29"/>
      <c r="E21" s="29">
        <f>B21+C21+D21</f>
        <v>0</v>
      </c>
      <c r="F21" s="30" t="s">
        <v>14</v>
      </c>
      <c r="G21" s="125"/>
      <c r="K21" s="14"/>
      <c r="L21" s="3"/>
    </row>
    <row r="22" spans="1:12">
      <c r="A22" s="26" t="s">
        <v>5</v>
      </c>
      <c r="B22" s="29"/>
      <c r="C22" s="29"/>
      <c r="D22" s="29"/>
      <c r="E22" s="29">
        <f>B22+C22+D22</f>
        <v>0</v>
      </c>
      <c r="F22" s="30" t="s">
        <v>14</v>
      </c>
      <c r="G22" s="125"/>
      <c r="K22" s="12"/>
      <c r="L22" s="3"/>
    </row>
    <row r="23" spans="1:12">
      <c r="A23" s="23"/>
      <c r="B23" s="23"/>
      <c r="C23" s="23"/>
      <c r="D23" s="23"/>
      <c r="E23" s="23"/>
      <c r="F23" s="23"/>
      <c r="G23" s="23"/>
    </row>
    <row r="24" spans="1:12">
      <c r="A24" s="23"/>
      <c r="B24" s="31" t="s">
        <v>8</v>
      </c>
      <c r="C24" s="31" t="s">
        <v>7</v>
      </c>
      <c r="D24" s="31" t="s">
        <v>6</v>
      </c>
      <c r="E24" s="31" t="s">
        <v>10</v>
      </c>
      <c r="F24" s="23"/>
      <c r="G24" s="23"/>
    </row>
    <row r="25" spans="1:12">
      <c r="A25" s="26" t="s">
        <v>19</v>
      </c>
      <c r="B25" s="29">
        <f>(((B11+B12)/2*$G$11+(B16+B17)/2*$G$16)/($G$11+$G$16))/$B$5</f>
        <v>710.36246870577986</v>
      </c>
      <c r="C25" s="29">
        <f>(((C11+C12)/2*$G$11+(C16+C17)/2*$G$16)/($G$11+$G$16))/$B$5</f>
        <v>24.817677152498092</v>
      </c>
      <c r="D25" s="29">
        <f>(((D11+D12)/2*$G$11+(D16+D17)/2*$G$16)/($G$11+$G$16))/$B$5</f>
        <v>40.996516817241755</v>
      </c>
      <c r="E25" s="29">
        <f>(((E11+E12)/2*$G$11+(E16+E17)/2*$G$16)/($G$11+$G$16))/$B$5</f>
        <v>776.17666267551976</v>
      </c>
      <c r="F25" s="23"/>
      <c r="G25" s="23"/>
    </row>
    <row r="28" spans="1:12">
      <c r="A28" t="s">
        <v>9</v>
      </c>
      <c r="B28" t="s">
        <v>24</v>
      </c>
    </row>
    <row r="29" spans="1:12">
      <c r="A29" t="s">
        <v>18</v>
      </c>
      <c r="B29">
        <v>352.05</v>
      </c>
    </row>
    <row r="30" spans="1:12">
      <c r="A30" t="s">
        <v>11</v>
      </c>
      <c r="B30" s="25">
        <v>43365</v>
      </c>
    </row>
    <row r="31" spans="1:12">
      <c r="A31" t="s">
        <v>12</v>
      </c>
      <c r="B31" s="25">
        <v>43369</v>
      </c>
    </row>
    <row r="32" spans="1:12">
      <c r="B32" s="1"/>
    </row>
    <row r="33" spans="1:11">
      <c r="A33" s="4" t="s">
        <v>1</v>
      </c>
      <c r="B33" s="8" t="s">
        <v>17</v>
      </c>
    </row>
    <row r="34" spans="1:11">
      <c r="A34" s="4" t="s">
        <v>3</v>
      </c>
      <c r="B34" s="5" t="s">
        <v>8</v>
      </c>
      <c r="C34" s="5" t="s">
        <v>7</v>
      </c>
      <c r="D34" s="5" t="s">
        <v>6</v>
      </c>
      <c r="E34" s="5" t="s">
        <v>10</v>
      </c>
      <c r="F34" s="5" t="s">
        <v>13</v>
      </c>
      <c r="G34" s="5" t="s">
        <v>15</v>
      </c>
    </row>
    <row r="35" spans="1:11">
      <c r="A35" s="4" t="s">
        <v>4</v>
      </c>
      <c r="B35" s="6">
        <v>297700</v>
      </c>
      <c r="C35" s="6">
        <v>22000</v>
      </c>
      <c r="D35" s="6">
        <v>27023</v>
      </c>
      <c r="E35" s="6">
        <f>B35+C35+D35</f>
        <v>346723</v>
      </c>
      <c r="F35" s="7" t="s">
        <v>14</v>
      </c>
      <c r="G35" s="124">
        <v>34</v>
      </c>
      <c r="J35" s="9"/>
    </row>
    <row r="36" spans="1:11">
      <c r="A36" s="4" t="s">
        <v>5</v>
      </c>
      <c r="B36" s="6">
        <v>950300</v>
      </c>
      <c r="C36" s="6">
        <v>22600</v>
      </c>
      <c r="D36" s="6">
        <v>51991</v>
      </c>
      <c r="E36" s="6">
        <f>B36+C36+D36</f>
        <v>1024891</v>
      </c>
      <c r="F36" s="7" t="s">
        <v>14</v>
      </c>
      <c r="G36" s="124"/>
      <c r="J36" s="10"/>
    </row>
    <row r="37" spans="1:11">
      <c r="I37" s="3"/>
      <c r="J37" s="12"/>
      <c r="K37" s="3"/>
    </row>
    <row r="38" spans="1:11">
      <c r="A38" s="4" t="s">
        <v>1</v>
      </c>
      <c r="B38" s="8" t="s">
        <v>21</v>
      </c>
      <c r="I38" s="14"/>
      <c r="J38" s="14"/>
      <c r="K38" s="3"/>
    </row>
    <row r="39" spans="1:11">
      <c r="A39" s="4" t="s">
        <v>3</v>
      </c>
      <c r="B39" s="5" t="s">
        <v>8</v>
      </c>
      <c r="C39" s="5" t="s">
        <v>7</v>
      </c>
      <c r="D39" s="5" t="s">
        <v>6</v>
      </c>
      <c r="E39" s="5" t="s">
        <v>10</v>
      </c>
      <c r="F39" s="5" t="s">
        <v>13</v>
      </c>
      <c r="G39" s="5" t="s">
        <v>15</v>
      </c>
      <c r="I39" s="57" t="s">
        <v>63</v>
      </c>
      <c r="J39" s="15">
        <f>G35+G40+G45</f>
        <v>57</v>
      </c>
      <c r="K39" s="3"/>
    </row>
    <row r="40" spans="1:11">
      <c r="A40" s="4" t="s">
        <v>4</v>
      </c>
      <c r="B40" s="6">
        <v>403000</v>
      </c>
      <c r="C40" s="6">
        <v>22000</v>
      </c>
      <c r="D40" s="6">
        <v>29400</v>
      </c>
      <c r="E40" s="6">
        <f>B40+C40+D40</f>
        <v>454400</v>
      </c>
      <c r="F40" s="7" t="s">
        <v>14</v>
      </c>
      <c r="G40" s="124">
        <v>19</v>
      </c>
      <c r="I40" s="54" t="s">
        <v>61</v>
      </c>
      <c r="J40" s="55">
        <f>(G35*100/(G35+G40+G45))^2+(G40*100/(G35+G40+G45))^2+(G45*100/(G35+G40+G45))^2</f>
        <v>4718.3748845798709</v>
      </c>
      <c r="K40" s="3"/>
    </row>
    <row r="41" spans="1:11">
      <c r="A41" s="4" t="s">
        <v>5</v>
      </c>
      <c r="B41" s="6">
        <v>971300</v>
      </c>
      <c r="C41" s="6">
        <v>22600</v>
      </c>
      <c r="D41" s="6">
        <v>29400</v>
      </c>
      <c r="E41" s="6">
        <f>B41+C41+D41</f>
        <v>1023300</v>
      </c>
      <c r="F41" s="7" t="s">
        <v>14</v>
      </c>
      <c r="G41" s="124"/>
      <c r="I41" s="13"/>
      <c r="J41" s="13"/>
      <c r="K41" s="3"/>
    </row>
    <row r="43" spans="1:11">
      <c r="A43" s="4" t="s">
        <v>1</v>
      </c>
      <c r="B43" s="8" t="s">
        <v>25</v>
      </c>
    </row>
    <row r="44" spans="1:11">
      <c r="A44" s="4" t="s">
        <v>3</v>
      </c>
      <c r="B44" s="5" t="s">
        <v>8</v>
      </c>
      <c r="C44" s="5" t="s">
        <v>7</v>
      </c>
      <c r="D44" s="5" t="s">
        <v>6</v>
      </c>
      <c r="E44" s="5" t="s">
        <v>10</v>
      </c>
      <c r="F44" s="5" t="s">
        <v>13</v>
      </c>
      <c r="G44" s="5" t="s">
        <v>15</v>
      </c>
      <c r="J44" s="20"/>
      <c r="K44" s="3"/>
    </row>
    <row r="45" spans="1:11">
      <c r="A45" s="4" t="s">
        <v>4</v>
      </c>
      <c r="B45" s="6">
        <v>493200</v>
      </c>
      <c r="C45" s="6">
        <v>22600</v>
      </c>
      <c r="D45" s="6">
        <v>29400</v>
      </c>
      <c r="E45" s="6">
        <f>B45+C45+D45</f>
        <v>545200</v>
      </c>
      <c r="F45" s="7" t="s">
        <v>14</v>
      </c>
      <c r="G45" s="124">
        <v>4</v>
      </c>
      <c r="J45" s="2"/>
      <c r="K45" s="3"/>
    </row>
    <row r="46" spans="1:11">
      <c r="A46" s="4" t="s">
        <v>5</v>
      </c>
      <c r="B46" s="6">
        <v>493200</v>
      </c>
      <c r="C46" s="6">
        <v>22600</v>
      </c>
      <c r="D46" s="6">
        <v>29400</v>
      </c>
      <c r="E46" s="6">
        <f>B46+C46+D46</f>
        <v>545200</v>
      </c>
      <c r="F46" s="7" t="s">
        <v>14</v>
      </c>
      <c r="G46" s="124"/>
      <c r="J46" s="2"/>
      <c r="K46" s="3"/>
    </row>
    <row r="47" spans="1:11">
      <c r="J47" s="12"/>
      <c r="K47" s="3"/>
    </row>
    <row r="48" spans="1:11">
      <c r="B48" s="19" t="s">
        <v>8</v>
      </c>
      <c r="C48" s="19" t="s">
        <v>7</v>
      </c>
      <c r="D48" s="19" t="s">
        <v>6</v>
      </c>
      <c r="E48" s="19" t="s">
        <v>10</v>
      </c>
      <c r="J48" s="11"/>
    </row>
    <row r="49" spans="1:11">
      <c r="A49" s="4" t="s">
        <v>19</v>
      </c>
      <c r="B49" s="6">
        <f>(((B35+B36)/2*$G$35+(B40+B41)/2*$G$40+(B45+B46)/2*$G$45)/($G$35+$G$40+$G$45))/$B$29</f>
        <v>1806.1952922357023</v>
      </c>
      <c r="C49" s="6">
        <f t="shared" ref="C49:D49" si="0">(((C35+C36)/2*$G$35+(C40+C41)/2*$G$40+(C45+C46)/2*$G$45)/($G$35+$G$40+$G$45))/$B$29</f>
        <v>63.403075221073557</v>
      </c>
      <c r="D49" s="6">
        <f t="shared" si="0"/>
        <v>100.63552575516336</v>
      </c>
      <c r="E49" s="6">
        <f>B49+C49+D49</f>
        <v>1970.2338932119392</v>
      </c>
    </row>
    <row r="53" spans="1:11">
      <c r="A53" t="s">
        <v>9</v>
      </c>
      <c r="B53" t="s">
        <v>34</v>
      </c>
    </row>
    <row r="54" spans="1:11">
      <c r="A54" t="s">
        <v>18</v>
      </c>
      <c r="B54">
        <v>799.76</v>
      </c>
    </row>
    <row r="55" spans="1:11">
      <c r="A55" t="s">
        <v>11</v>
      </c>
      <c r="B55" s="25">
        <v>43365</v>
      </c>
    </row>
    <row r="56" spans="1:11">
      <c r="A56" t="s">
        <v>12</v>
      </c>
      <c r="B56" s="25">
        <v>43369</v>
      </c>
    </row>
    <row r="57" spans="1:11">
      <c r="B57" s="1"/>
    </row>
    <row r="58" spans="1:11">
      <c r="A58" s="4" t="s">
        <v>1</v>
      </c>
      <c r="B58" s="8" t="s">
        <v>17</v>
      </c>
    </row>
    <row r="59" spans="1:11">
      <c r="A59" s="4" t="s">
        <v>3</v>
      </c>
      <c r="B59" s="5" t="s">
        <v>8</v>
      </c>
      <c r="C59" s="5" t="s">
        <v>7</v>
      </c>
      <c r="D59" s="5" t="s">
        <v>6</v>
      </c>
      <c r="E59" s="5" t="s">
        <v>10</v>
      </c>
      <c r="F59" s="5" t="s">
        <v>13</v>
      </c>
      <c r="G59" s="5" t="s">
        <v>15</v>
      </c>
    </row>
    <row r="60" spans="1:11">
      <c r="A60" s="4" t="s">
        <v>4</v>
      </c>
      <c r="B60" s="6">
        <v>328600</v>
      </c>
      <c r="C60" s="6">
        <v>21700</v>
      </c>
      <c r="D60" s="6">
        <v>26714</v>
      </c>
      <c r="E60" s="6">
        <f>B60+C60+D60</f>
        <v>377014</v>
      </c>
      <c r="F60" s="7" t="s">
        <v>14</v>
      </c>
      <c r="G60" s="124">
        <v>21</v>
      </c>
      <c r="J60" s="9"/>
    </row>
    <row r="61" spans="1:11">
      <c r="A61" s="4" t="s">
        <v>5</v>
      </c>
      <c r="B61" s="6">
        <v>946500</v>
      </c>
      <c r="C61" s="6">
        <v>21700</v>
      </c>
      <c r="D61" s="6">
        <v>51731</v>
      </c>
      <c r="E61" s="6">
        <f>B61+C61+D61</f>
        <v>1019931</v>
      </c>
      <c r="F61" s="7" t="s">
        <v>14</v>
      </c>
      <c r="G61" s="124"/>
      <c r="J61" s="10"/>
    </row>
    <row r="62" spans="1:11">
      <c r="J62" s="12"/>
    </row>
    <row r="63" spans="1:11">
      <c r="A63" s="4" t="s">
        <v>1</v>
      </c>
      <c r="B63" s="8" t="s">
        <v>35</v>
      </c>
      <c r="J63" s="13"/>
      <c r="K63" s="3"/>
    </row>
    <row r="64" spans="1:11">
      <c r="A64" s="4" t="s">
        <v>3</v>
      </c>
      <c r="B64" s="5" t="s">
        <v>8</v>
      </c>
      <c r="C64" s="5" t="s">
        <v>7</v>
      </c>
      <c r="D64" s="5" t="s">
        <v>6</v>
      </c>
      <c r="E64" s="5" t="s">
        <v>10</v>
      </c>
      <c r="F64" s="5" t="s">
        <v>13</v>
      </c>
      <c r="G64" s="5" t="s">
        <v>15</v>
      </c>
      <c r="I64" s="57" t="s">
        <v>63</v>
      </c>
      <c r="J64" s="15">
        <f>G60+G65+G70</f>
        <v>38</v>
      </c>
      <c r="K64" s="3"/>
    </row>
    <row r="65" spans="1:11">
      <c r="A65" s="4" t="s">
        <v>4</v>
      </c>
      <c r="B65" s="6">
        <v>548600</v>
      </c>
      <c r="C65" s="6">
        <v>21700</v>
      </c>
      <c r="D65" s="6">
        <v>45141</v>
      </c>
      <c r="E65" s="6">
        <f>B65+C65+D65</f>
        <v>615441</v>
      </c>
      <c r="F65" s="7" t="s">
        <v>14</v>
      </c>
      <c r="G65" s="124">
        <v>8</v>
      </c>
      <c r="I65" s="54" t="s">
        <v>61</v>
      </c>
      <c r="J65" s="55">
        <f>(G60*100/(G60+G65+G70))^2+(G65*100/(G60+G65+G70))^2+(G70*100/(G60+G65+G70))^2</f>
        <v>4058.1717451523546</v>
      </c>
      <c r="K65" s="3"/>
    </row>
    <row r="66" spans="1:11">
      <c r="A66" s="4" t="s">
        <v>5</v>
      </c>
      <c r="B66" s="6">
        <v>955500</v>
      </c>
      <c r="C66" s="6">
        <v>21700</v>
      </c>
      <c r="D66" s="6">
        <v>29400</v>
      </c>
      <c r="E66" s="6">
        <f>B66+C66+D66</f>
        <v>1006600</v>
      </c>
      <c r="F66" s="7" t="s">
        <v>14</v>
      </c>
      <c r="G66" s="124"/>
      <c r="J66" s="12"/>
      <c r="K66" s="3"/>
    </row>
    <row r="67" spans="1:11">
      <c r="J67" s="13"/>
      <c r="K67" s="3"/>
    </row>
    <row r="68" spans="1:11">
      <c r="A68" s="4" t="s">
        <v>1</v>
      </c>
      <c r="B68" s="8" t="s">
        <v>25</v>
      </c>
      <c r="J68" s="34"/>
      <c r="K68" s="3"/>
    </row>
    <row r="69" spans="1:11">
      <c r="A69" s="4" t="s">
        <v>3</v>
      </c>
      <c r="B69" s="5" t="s">
        <v>8</v>
      </c>
      <c r="C69" s="5" t="s">
        <v>7</v>
      </c>
      <c r="D69" s="5" t="s">
        <v>6</v>
      </c>
      <c r="E69" s="5" t="s">
        <v>10</v>
      </c>
      <c r="F69" s="5" t="s">
        <v>13</v>
      </c>
      <c r="G69" s="5" t="s">
        <v>15</v>
      </c>
      <c r="J69" s="14"/>
      <c r="K69" s="3"/>
    </row>
    <row r="70" spans="1:11">
      <c r="A70" s="4" t="s">
        <v>4</v>
      </c>
      <c r="B70" s="6">
        <v>624000</v>
      </c>
      <c r="C70" s="6">
        <v>21700</v>
      </c>
      <c r="D70" s="6">
        <v>29400</v>
      </c>
      <c r="E70" s="6">
        <f>B70+C70+D70</f>
        <v>675100</v>
      </c>
      <c r="F70" s="7" t="s">
        <v>14</v>
      </c>
      <c r="G70" s="124">
        <v>9</v>
      </c>
      <c r="J70" s="12"/>
      <c r="K70" s="3"/>
    </row>
    <row r="71" spans="1:11">
      <c r="A71" s="4" t="s">
        <v>5</v>
      </c>
      <c r="B71" s="6">
        <v>654100</v>
      </c>
      <c r="C71" s="6">
        <v>21700</v>
      </c>
      <c r="D71" s="6">
        <v>29400</v>
      </c>
      <c r="E71" s="6">
        <f>B71+C71+D71</f>
        <v>705200</v>
      </c>
      <c r="F71" s="7" t="s">
        <v>14</v>
      </c>
      <c r="G71" s="124"/>
      <c r="J71" s="12"/>
      <c r="K71" s="3"/>
    </row>
    <row r="72" spans="1:11">
      <c r="J72" s="13"/>
      <c r="K72" s="3"/>
    </row>
    <row r="73" spans="1:11">
      <c r="B73" s="19" t="s">
        <v>8</v>
      </c>
      <c r="C73" s="19" t="s">
        <v>7</v>
      </c>
      <c r="D73" s="19" t="s">
        <v>6</v>
      </c>
      <c r="E73" s="19" t="s">
        <v>10</v>
      </c>
      <c r="J73" s="3"/>
      <c r="K73" s="3"/>
    </row>
    <row r="74" spans="1:11">
      <c r="A74" s="4" t="s">
        <v>19</v>
      </c>
      <c r="B74" s="6">
        <f>(((B60+B61)/2*$G$60+(B65+B66)/2*$G$65+(B70+B71)/2*$G$70)/($G$60+$G$65+$G$70))/$B$54</f>
        <v>827.76148634063895</v>
      </c>
      <c r="C74" s="6">
        <f t="shared" ref="C74:D74" si="1">(((C60+C61)/2*$G$60+(C65+C66)/2*$G$65+(C70+C71)/2*$G$70)/($G$60+$G$65+$G$70))/$B$54</f>
        <v>27.133139941982595</v>
      </c>
      <c r="D74" s="6">
        <f t="shared" si="1"/>
        <v>45.620149860747702</v>
      </c>
      <c r="E74" s="6">
        <f>B74+C74+D74</f>
        <v>900.5147761433692</v>
      </c>
    </row>
    <row r="78" spans="1:11">
      <c r="A78" t="s">
        <v>9</v>
      </c>
      <c r="B78" t="s">
        <v>36</v>
      </c>
    </row>
    <row r="79" spans="1:11">
      <c r="A79" t="s">
        <v>18</v>
      </c>
      <c r="B79">
        <v>594.29999999999995</v>
      </c>
    </row>
    <row r="80" spans="1:11">
      <c r="A80" t="s">
        <v>11</v>
      </c>
      <c r="B80" s="25">
        <v>43365</v>
      </c>
    </row>
    <row r="81" spans="1:11">
      <c r="A81" t="s">
        <v>12</v>
      </c>
      <c r="B81" s="25">
        <v>43369</v>
      </c>
    </row>
    <row r="82" spans="1:11">
      <c r="B82" s="1"/>
    </row>
    <row r="83" spans="1:11">
      <c r="A83" s="4" t="s">
        <v>1</v>
      </c>
      <c r="B83" s="8" t="s">
        <v>17</v>
      </c>
    </row>
    <row r="84" spans="1:11">
      <c r="A84" s="4" t="s">
        <v>3</v>
      </c>
      <c r="B84" s="5" t="s">
        <v>8</v>
      </c>
      <c r="C84" s="5" t="s">
        <v>7</v>
      </c>
      <c r="D84" s="5" t="s">
        <v>6</v>
      </c>
      <c r="E84" s="5" t="s">
        <v>10</v>
      </c>
      <c r="F84" s="5" t="s">
        <v>13</v>
      </c>
      <c r="G84" s="5" t="s">
        <v>15</v>
      </c>
      <c r="J84" s="9"/>
    </row>
    <row r="85" spans="1:11">
      <c r="A85" s="4" t="s">
        <v>4</v>
      </c>
      <c r="B85" s="6">
        <v>645100</v>
      </c>
      <c r="C85" s="6">
        <v>21700</v>
      </c>
      <c r="D85" s="6">
        <v>35699</v>
      </c>
      <c r="E85" s="6">
        <f>B85+C85+D85</f>
        <v>702499</v>
      </c>
      <c r="F85" s="7" t="s">
        <v>14</v>
      </c>
      <c r="G85" s="124">
        <v>5</v>
      </c>
      <c r="J85" s="10"/>
    </row>
    <row r="86" spans="1:11">
      <c r="A86" s="4" t="s">
        <v>5</v>
      </c>
      <c r="B86" s="6">
        <v>645100</v>
      </c>
      <c r="C86" s="6">
        <v>21700</v>
      </c>
      <c r="D86" s="6">
        <v>35699</v>
      </c>
      <c r="E86" s="6">
        <f>B86+C86+D86</f>
        <v>702499</v>
      </c>
      <c r="F86" s="7" t="s">
        <v>14</v>
      </c>
      <c r="G86" s="124"/>
      <c r="I86" s="3"/>
      <c r="J86" s="12"/>
      <c r="K86" s="3"/>
    </row>
    <row r="87" spans="1:11">
      <c r="I87" s="3"/>
      <c r="J87" s="13"/>
      <c r="K87" s="3"/>
    </row>
    <row r="88" spans="1:11">
      <c r="A88" s="4" t="s">
        <v>1</v>
      </c>
      <c r="B88" s="8" t="s">
        <v>25</v>
      </c>
      <c r="I88" s="3"/>
      <c r="J88" s="3"/>
      <c r="K88" s="3"/>
    </row>
    <row r="89" spans="1:11">
      <c r="A89" s="4" t="s">
        <v>3</v>
      </c>
      <c r="B89" s="5" t="s">
        <v>8</v>
      </c>
      <c r="C89" s="5" t="s">
        <v>7</v>
      </c>
      <c r="D89" s="5" t="s">
        <v>6</v>
      </c>
      <c r="E89" s="5" t="s">
        <v>10</v>
      </c>
      <c r="F89" s="5" t="s">
        <v>13</v>
      </c>
      <c r="G89" s="5" t="s">
        <v>15</v>
      </c>
      <c r="I89" s="57" t="s">
        <v>63</v>
      </c>
      <c r="J89" s="15">
        <f>G85+G90+G95</f>
        <v>9</v>
      </c>
      <c r="K89" s="3"/>
    </row>
    <row r="90" spans="1:11">
      <c r="A90" s="4" t="s">
        <v>4</v>
      </c>
      <c r="B90" s="6">
        <v>750600</v>
      </c>
      <c r="C90" s="6">
        <v>21700</v>
      </c>
      <c r="D90" s="6">
        <v>29400</v>
      </c>
      <c r="E90" s="6">
        <f>B90+C90+D90</f>
        <v>801700</v>
      </c>
      <c r="F90" s="7" t="s">
        <v>14</v>
      </c>
      <c r="G90" s="124">
        <v>4</v>
      </c>
      <c r="I90" s="54" t="s">
        <v>61</v>
      </c>
      <c r="J90" s="55">
        <f>(G85*100/(G85+G90+G95))^2+(G90*100/(G85+G90+G95))^2+(G95*100/(G85+G90+G95))^2</f>
        <v>5061.7283950617284</v>
      </c>
      <c r="K90" s="3"/>
    </row>
    <row r="91" spans="1:11">
      <c r="A91" s="4" t="s">
        <v>5</v>
      </c>
      <c r="B91" s="6">
        <v>819900</v>
      </c>
      <c r="C91" s="6">
        <v>21700</v>
      </c>
      <c r="D91" s="6">
        <v>29400</v>
      </c>
      <c r="E91" s="6">
        <f>B91+C91+D91</f>
        <v>871000</v>
      </c>
      <c r="F91" s="7" t="s">
        <v>14</v>
      </c>
      <c r="G91" s="124"/>
      <c r="I91" s="3"/>
      <c r="J91" s="12"/>
      <c r="K91" s="3"/>
    </row>
    <row r="92" spans="1:11">
      <c r="I92" s="3"/>
      <c r="J92" s="13"/>
      <c r="K92" s="3"/>
    </row>
    <row r="93" spans="1:11">
      <c r="A93" s="4" t="s">
        <v>1</v>
      </c>
      <c r="B93" s="8"/>
    </row>
    <row r="94" spans="1:11">
      <c r="A94" s="4" t="s">
        <v>3</v>
      </c>
      <c r="B94" s="5" t="s">
        <v>8</v>
      </c>
      <c r="C94" s="5" t="s">
        <v>7</v>
      </c>
      <c r="D94" s="5" t="s">
        <v>6</v>
      </c>
      <c r="E94" s="5" t="s">
        <v>10</v>
      </c>
      <c r="F94" s="5" t="s">
        <v>13</v>
      </c>
      <c r="G94" s="5" t="s">
        <v>15</v>
      </c>
    </row>
    <row r="95" spans="1:11">
      <c r="A95" s="4" t="s">
        <v>4</v>
      </c>
      <c r="B95" s="6"/>
      <c r="C95" s="6"/>
      <c r="D95" s="6"/>
      <c r="E95" s="6">
        <f>B95+C95+D95</f>
        <v>0</v>
      </c>
      <c r="F95" s="7" t="s">
        <v>14</v>
      </c>
      <c r="G95" s="124"/>
    </row>
    <row r="96" spans="1:11">
      <c r="A96" s="4" t="s">
        <v>5</v>
      </c>
      <c r="B96" s="6"/>
      <c r="C96" s="6"/>
      <c r="D96" s="6"/>
      <c r="E96" s="6">
        <f>B96+C96+D96</f>
        <v>0</v>
      </c>
      <c r="F96" s="7" t="s">
        <v>14</v>
      </c>
      <c r="G96" s="124"/>
    </row>
    <row r="98" spans="1:11">
      <c r="B98" s="19" t="s">
        <v>8</v>
      </c>
      <c r="C98" s="19" t="s">
        <v>7</v>
      </c>
      <c r="D98" s="19" t="s">
        <v>6</v>
      </c>
      <c r="E98" s="19" t="s">
        <v>10</v>
      </c>
    </row>
    <row r="99" spans="1:11">
      <c r="A99" s="4" t="s">
        <v>19</v>
      </c>
      <c r="B99" s="6">
        <f>(((B85+B86)/2*$G$85+(B90+B91)/2*$G$90+(B95+B96)/2*$G$95)/($G$85+$G$90+$G$95))/$B$79</f>
        <v>1190.2892291584872</v>
      </c>
      <c r="C99" s="6">
        <f t="shared" ref="C99:D99" si="2">(((C85+C86)/2*$G$85+(C90+C91)/2*$G$90+(C95+C96)/2*$G$95)/($G$85+$G$90+$G$95))/$B$79</f>
        <v>36.513545347467613</v>
      </c>
      <c r="D99" s="6">
        <f t="shared" si="2"/>
        <v>55.358311365378512</v>
      </c>
      <c r="E99" s="6">
        <f>B99+C99+D99</f>
        <v>1282.1610858713334</v>
      </c>
    </row>
    <row r="103" spans="1:11">
      <c r="A103" t="s">
        <v>9</v>
      </c>
      <c r="B103" t="s">
        <v>37</v>
      </c>
    </row>
    <row r="104" spans="1:11">
      <c r="A104" t="s">
        <v>18</v>
      </c>
      <c r="B104">
        <f>(509.71+524)/2</f>
        <v>516.85500000000002</v>
      </c>
    </row>
    <row r="105" spans="1:11">
      <c r="A105" t="s">
        <v>11</v>
      </c>
      <c r="B105" s="25">
        <v>43365</v>
      </c>
    </row>
    <row r="106" spans="1:11">
      <c r="A106" t="s">
        <v>12</v>
      </c>
      <c r="B106" s="25">
        <v>43369</v>
      </c>
    </row>
    <row r="107" spans="1:11">
      <c r="B107" s="1"/>
    </row>
    <row r="108" spans="1:11">
      <c r="A108" s="4" t="s">
        <v>1</v>
      </c>
      <c r="B108" s="8" t="s">
        <v>17</v>
      </c>
    </row>
    <row r="109" spans="1:11">
      <c r="A109" s="4" t="s">
        <v>3</v>
      </c>
      <c r="B109" s="5" t="s">
        <v>8</v>
      </c>
      <c r="C109" s="5" t="s">
        <v>7</v>
      </c>
      <c r="D109" s="5" t="s">
        <v>6</v>
      </c>
      <c r="E109" s="5" t="s">
        <v>10</v>
      </c>
      <c r="F109" s="5" t="s">
        <v>13</v>
      </c>
      <c r="G109" s="5" t="s">
        <v>15</v>
      </c>
      <c r="J109" s="9"/>
    </row>
    <row r="110" spans="1:11">
      <c r="A110" s="4" t="s">
        <v>4</v>
      </c>
      <c r="B110" s="6">
        <v>431100</v>
      </c>
      <c r="C110" s="6">
        <v>23000</v>
      </c>
      <c r="D110" s="6">
        <v>25689</v>
      </c>
      <c r="E110" s="6">
        <f>B110+C110+D110</f>
        <v>479789</v>
      </c>
      <c r="F110" s="7" t="s">
        <v>14</v>
      </c>
      <c r="G110" s="124">
        <v>15</v>
      </c>
      <c r="J110" s="10"/>
    </row>
    <row r="111" spans="1:11">
      <c r="A111" s="4" t="s">
        <v>5</v>
      </c>
      <c r="B111" s="6">
        <v>669200</v>
      </c>
      <c r="C111" s="6">
        <v>23000</v>
      </c>
      <c r="D111" s="6">
        <v>37064</v>
      </c>
      <c r="E111" s="6">
        <f>B111+C111+D111</f>
        <v>729264</v>
      </c>
      <c r="F111" s="7" t="s">
        <v>14</v>
      </c>
      <c r="G111" s="124"/>
      <c r="J111" s="12"/>
    </row>
    <row r="112" spans="1:11">
      <c r="J112" s="13"/>
      <c r="K112" s="3"/>
    </row>
    <row r="113" spans="1:11">
      <c r="A113" s="4" t="s">
        <v>1</v>
      </c>
      <c r="B113" s="8" t="s">
        <v>35</v>
      </c>
      <c r="J113" s="13"/>
      <c r="K113" s="3"/>
    </row>
    <row r="114" spans="1:11">
      <c r="A114" s="4" t="s">
        <v>3</v>
      </c>
      <c r="B114" s="5" t="s">
        <v>8</v>
      </c>
      <c r="C114" s="5" t="s">
        <v>7</v>
      </c>
      <c r="D114" s="5" t="s">
        <v>6</v>
      </c>
      <c r="E114" s="5" t="s">
        <v>10</v>
      </c>
      <c r="F114" s="5" t="s">
        <v>13</v>
      </c>
      <c r="G114" s="5" t="s">
        <v>15</v>
      </c>
      <c r="I114" s="57" t="s">
        <v>63</v>
      </c>
      <c r="J114" s="15">
        <f>G110+G115+G120</f>
        <v>42</v>
      </c>
      <c r="K114" s="3"/>
    </row>
    <row r="115" spans="1:11">
      <c r="A115" s="4" t="s">
        <v>4</v>
      </c>
      <c r="B115" s="6">
        <v>446100</v>
      </c>
      <c r="C115" s="6">
        <v>22800</v>
      </c>
      <c r="D115" s="6">
        <v>29400</v>
      </c>
      <c r="E115" s="6">
        <f>B115+C115+D115</f>
        <v>498300</v>
      </c>
      <c r="F115" s="7" t="s">
        <v>14</v>
      </c>
      <c r="G115" s="124">
        <v>4</v>
      </c>
      <c r="I115" s="54" t="s">
        <v>61</v>
      </c>
      <c r="J115" s="55">
        <f>(G110*100/(G110+G115+G120))^2+(G115*100/(G110+G115+G120))^2+(G120*100/(G110+G115+G120))^2</f>
        <v>4365.0793650793648</v>
      </c>
      <c r="K115" s="3"/>
    </row>
    <row r="116" spans="1:11">
      <c r="A116" s="4" t="s">
        <v>5</v>
      </c>
      <c r="B116" s="6">
        <v>446100</v>
      </c>
      <c r="C116" s="6">
        <v>22800</v>
      </c>
      <c r="D116" s="6">
        <v>29400</v>
      </c>
      <c r="E116" s="6">
        <f>B116+C116+D116</f>
        <v>498300</v>
      </c>
      <c r="F116" s="7" t="s">
        <v>14</v>
      </c>
      <c r="G116" s="124"/>
      <c r="J116" s="12"/>
      <c r="K116" s="3"/>
    </row>
    <row r="117" spans="1:11">
      <c r="J117" s="13"/>
      <c r="K117" s="3"/>
    </row>
    <row r="118" spans="1:11">
      <c r="A118" s="4" t="s">
        <v>1</v>
      </c>
      <c r="B118" s="8" t="s">
        <v>25</v>
      </c>
      <c r="J118" s="3"/>
      <c r="K118" s="3"/>
    </row>
    <row r="119" spans="1:11">
      <c r="A119" s="4" t="s">
        <v>3</v>
      </c>
      <c r="B119" s="5" t="s">
        <v>8</v>
      </c>
      <c r="C119" s="5" t="s">
        <v>7</v>
      </c>
      <c r="D119" s="5" t="s">
        <v>6</v>
      </c>
      <c r="E119" s="5" t="s">
        <v>10</v>
      </c>
      <c r="F119" s="5" t="s">
        <v>13</v>
      </c>
      <c r="G119" s="5" t="s">
        <v>15</v>
      </c>
      <c r="J119" s="3"/>
      <c r="K119" s="3"/>
    </row>
    <row r="120" spans="1:11">
      <c r="A120" s="4" t="s">
        <v>4</v>
      </c>
      <c r="B120" s="6">
        <v>660200</v>
      </c>
      <c r="C120" s="6">
        <v>23000</v>
      </c>
      <c r="D120" s="6">
        <v>29400</v>
      </c>
      <c r="E120" s="6">
        <f>B120+C120+D120</f>
        <v>712600</v>
      </c>
      <c r="F120" s="7" t="s">
        <v>14</v>
      </c>
      <c r="G120" s="124">
        <v>23</v>
      </c>
      <c r="J120" s="14"/>
      <c r="K120" s="3"/>
    </row>
    <row r="121" spans="1:11">
      <c r="A121" s="4" t="s">
        <v>5</v>
      </c>
      <c r="B121" s="6">
        <v>1151500</v>
      </c>
      <c r="C121" s="6">
        <v>21600</v>
      </c>
      <c r="D121" s="6">
        <v>44100</v>
      </c>
      <c r="E121" s="6">
        <f>B121+C121+D121</f>
        <v>1217200</v>
      </c>
      <c r="F121" s="7" t="s">
        <v>14</v>
      </c>
      <c r="G121" s="124"/>
      <c r="J121" s="12"/>
      <c r="K121" s="3"/>
    </row>
    <row r="122" spans="1:11">
      <c r="J122" s="12"/>
      <c r="K122" s="3"/>
    </row>
    <row r="123" spans="1:11">
      <c r="B123" s="19" t="s">
        <v>8</v>
      </c>
      <c r="C123" s="19" t="s">
        <v>7</v>
      </c>
      <c r="D123" s="19" t="s">
        <v>6</v>
      </c>
      <c r="E123" s="19" t="s">
        <v>10</v>
      </c>
      <c r="J123" s="13"/>
      <c r="K123" s="3"/>
    </row>
    <row r="124" spans="1:11">
      <c r="A124" s="4" t="s">
        <v>19</v>
      </c>
      <c r="B124" s="6">
        <f>(((B110+B111)/2*$G$110+(B115+B116)/2*$G$115+(B120+B121)/2*$G$120)/($G$110+$G$115+$G$120))/$B$104</f>
        <v>1422.1175599124929</v>
      </c>
      <c r="C124" s="6">
        <f t="shared" ref="C124:D124" si="3">(((C110+C111)/2*$G$110+(C115+C116)/2*$G$115+(C120+C121)/2*$G$120)/($G$110+$G$115+$G$120))/$B$104</f>
        <v>43.721390037087858</v>
      </c>
      <c r="D124" s="6">
        <f t="shared" si="3"/>
        <v>66.03572154113408</v>
      </c>
      <c r="E124" s="6">
        <f>B124+C124+D124</f>
        <v>1531.8746714907147</v>
      </c>
      <c r="J124" s="3"/>
      <c r="K124" s="3"/>
    </row>
    <row r="127" spans="1:11" s="42" customFormat="1" ht="30">
      <c r="A127" s="45" t="s">
        <v>64</v>
      </c>
      <c r="B127" s="67" t="s">
        <v>78</v>
      </c>
      <c r="C127" s="67" t="s">
        <v>80</v>
      </c>
      <c r="D127" s="44" t="s">
        <v>81</v>
      </c>
      <c r="E127" s="67" t="s">
        <v>79</v>
      </c>
    </row>
    <row r="128" spans="1:11">
      <c r="A128" s="56">
        <f>(J16*J15+J40*J39+J65*J64+J90*J89+J115*J114)/(J15+J39+J64+J89+J114)</f>
        <v>4534.4520722095094</v>
      </c>
      <c r="B128" s="62">
        <f>(B25*$J$15+B49*$J$39+B74*$J$64+B99*$J$89+B124*$J$114)/($J$15+$J$39+$J$64+$J$89+$J$114)</f>
        <v>1338.5406568181186</v>
      </c>
      <c r="C128" s="62">
        <f t="shared" ref="C128:E128" si="4">(C25*$J$15+C49*$J$39+C74*$J$64+C99*$J$89+C124*$J$114)/($J$15+$J$39+$J$64+$J$89+$J$114)</f>
        <v>44.610062437073914</v>
      </c>
      <c r="D128" s="62">
        <f t="shared" si="4"/>
        <v>70.537040509486886</v>
      </c>
      <c r="E128" s="62">
        <f t="shared" si="4"/>
        <v>1453.6877597646794</v>
      </c>
    </row>
    <row r="130" spans="1:2">
      <c r="A130" s="44" t="s">
        <v>83</v>
      </c>
      <c r="B130" s="68">
        <f>C128/E128</f>
        <v>3.0687513282973033E-2</v>
      </c>
    </row>
  </sheetData>
  <mergeCells count="15">
    <mergeCell ref="G90:G91"/>
    <mergeCell ref="G95:G96"/>
    <mergeCell ref="G110:G111"/>
    <mergeCell ref="G115:G116"/>
    <mergeCell ref="G120:G121"/>
    <mergeCell ref="G45:G46"/>
    <mergeCell ref="G60:G61"/>
    <mergeCell ref="G65:G66"/>
    <mergeCell ref="G70:G71"/>
    <mergeCell ref="G85:G86"/>
    <mergeCell ref="G11:G12"/>
    <mergeCell ref="G16:G17"/>
    <mergeCell ref="G21:G22"/>
    <mergeCell ref="G35:G36"/>
    <mergeCell ref="G40:G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27"/>
  <sheetViews>
    <sheetView topLeftCell="A115" workbookViewId="0">
      <selection activeCell="B101" sqref="B101"/>
    </sheetView>
  </sheetViews>
  <sheetFormatPr baseColWidth="10" defaultRowHeight="15"/>
  <cols>
    <col min="1" max="1" width="19.42578125" bestFit="1" customWidth="1"/>
    <col min="2" max="2" width="14.140625" customWidth="1"/>
    <col min="3" max="3" width="16.85546875" customWidth="1"/>
    <col min="7" max="7" width="16.140625" bestFit="1" customWidth="1"/>
  </cols>
  <sheetData>
    <row r="1" spans="1:12">
      <c r="A1" s="130"/>
      <c r="B1" s="131"/>
      <c r="C1" s="131"/>
      <c r="D1" s="131"/>
      <c r="E1" s="131"/>
      <c r="F1" s="131"/>
      <c r="G1" s="131"/>
    </row>
    <row r="2" spans="1:12">
      <c r="A2" s="131"/>
      <c r="B2" s="131"/>
      <c r="C2" s="131"/>
      <c r="D2" s="131"/>
      <c r="E2" s="131"/>
      <c r="F2" s="131"/>
      <c r="G2" s="131"/>
    </row>
    <row r="3" spans="1:12">
      <c r="A3" s="131"/>
      <c r="B3" s="131"/>
      <c r="C3" s="131"/>
      <c r="D3" s="131"/>
      <c r="E3" s="131"/>
      <c r="F3" s="131"/>
      <c r="G3" s="131"/>
    </row>
    <row r="4" spans="1:12">
      <c r="A4" t="s">
        <v>9</v>
      </c>
      <c r="B4" s="126" t="s">
        <v>145</v>
      </c>
      <c r="C4" s="127"/>
      <c r="D4" s="23"/>
      <c r="E4" s="23"/>
      <c r="F4" s="23"/>
      <c r="G4" s="23"/>
      <c r="H4" s="23"/>
    </row>
    <row r="5" spans="1:12">
      <c r="A5" t="s">
        <v>18</v>
      </c>
      <c r="B5" s="23">
        <v>918.7</v>
      </c>
      <c r="C5" s="23"/>
      <c r="D5" s="23"/>
      <c r="E5" s="23"/>
      <c r="F5" s="23"/>
      <c r="G5" s="23"/>
      <c r="H5" s="23"/>
    </row>
    <row r="6" spans="1:12">
      <c r="A6" t="s">
        <v>11</v>
      </c>
      <c r="B6" s="25">
        <v>43413</v>
      </c>
      <c r="C6" s="23"/>
      <c r="D6" s="23"/>
      <c r="E6" s="23"/>
      <c r="F6" s="23"/>
      <c r="G6" s="23"/>
      <c r="H6" s="23"/>
    </row>
    <row r="7" spans="1:12">
      <c r="A7" t="s">
        <v>12</v>
      </c>
      <c r="B7" s="25">
        <v>43432</v>
      </c>
      <c r="C7" s="23"/>
      <c r="D7" s="23"/>
      <c r="E7" s="23"/>
      <c r="F7" s="23"/>
      <c r="G7" s="23"/>
      <c r="H7" s="23"/>
    </row>
    <row r="8" spans="1:12">
      <c r="B8" s="23"/>
      <c r="C8" s="23"/>
      <c r="D8" s="23"/>
      <c r="E8" s="23"/>
      <c r="F8" s="23"/>
      <c r="G8" s="23"/>
      <c r="H8" s="23"/>
    </row>
    <row r="9" spans="1:12">
      <c r="A9" s="4" t="s">
        <v>1</v>
      </c>
      <c r="B9" s="76" t="s">
        <v>17</v>
      </c>
      <c r="C9" s="23"/>
      <c r="D9" s="23"/>
      <c r="E9" s="23"/>
      <c r="F9" s="23"/>
      <c r="G9" s="23"/>
      <c r="H9" s="23"/>
    </row>
    <row r="10" spans="1:12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  <c r="H10" s="23"/>
    </row>
    <row r="11" spans="1:12">
      <c r="A11" s="4" t="s">
        <v>4</v>
      </c>
      <c r="B11" s="29">
        <v>292600</v>
      </c>
      <c r="C11" s="29">
        <v>25400</v>
      </c>
      <c r="D11" s="29">
        <v>18296</v>
      </c>
      <c r="E11" s="29">
        <f>B11+C11+D11</f>
        <v>336296</v>
      </c>
      <c r="F11" s="30" t="s">
        <v>14</v>
      </c>
      <c r="G11" s="132">
        <v>8</v>
      </c>
      <c r="H11" s="23"/>
      <c r="K11" s="9"/>
    </row>
    <row r="12" spans="1:12">
      <c r="A12" s="4" t="s">
        <v>5</v>
      </c>
      <c r="B12" s="29">
        <v>786400</v>
      </c>
      <c r="C12" s="29">
        <v>26200</v>
      </c>
      <c r="D12" s="29">
        <v>18405</v>
      </c>
      <c r="E12" s="29">
        <f>B12+C12+D12</f>
        <v>831005</v>
      </c>
      <c r="F12" s="30" t="s">
        <v>14</v>
      </c>
      <c r="G12" s="133"/>
      <c r="H12" s="23"/>
      <c r="K12" s="10"/>
    </row>
    <row r="13" spans="1:12">
      <c r="B13" s="23"/>
      <c r="C13" s="23"/>
      <c r="D13" s="23"/>
      <c r="E13" s="23"/>
      <c r="F13" s="23"/>
      <c r="G13" s="23"/>
      <c r="H13" s="23"/>
      <c r="I13" s="3"/>
      <c r="J13" s="3"/>
      <c r="K13" s="12"/>
    </row>
    <row r="14" spans="1:12">
      <c r="A14" s="4" t="s">
        <v>1</v>
      </c>
      <c r="B14" s="76" t="s">
        <v>27</v>
      </c>
      <c r="C14" s="23"/>
      <c r="D14" s="23"/>
      <c r="E14" s="23"/>
      <c r="F14" s="23"/>
      <c r="G14" s="23"/>
      <c r="H14" s="23"/>
      <c r="I14" s="3"/>
      <c r="J14" s="3"/>
      <c r="K14" s="2"/>
    </row>
    <row r="15" spans="1:12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H15" s="23"/>
      <c r="I15" s="57" t="s">
        <v>63</v>
      </c>
      <c r="J15" s="12">
        <f>G11+G16+G21</f>
        <v>14</v>
      </c>
      <c r="K15" s="3"/>
    </row>
    <row r="16" spans="1:12">
      <c r="A16" s="4" t="s">
        <v>4</v>
      </c>
      <c r="B16" s="29">
        <v>349200</v>
      </c>
      <c r="C16" s="29">
        <v>25400</v>
      </c>
      <c r="D16" s="29">
        <v>23016</v>
      </c>
      <c r="E16" s="29">
        <f>B16+C16+D16</f>
        <v>397616</v>
      </c>
      <c r="F16" s="30" t="s">
        <v>14</v>
      </c>
      <c r="G16" s="132">
        <v>6</v>
      </c>
      <c r="H16" s="23"/>
      <c r="I16" s="54" t="s">
        <v>61</v>
      </c>
      <c r="J16" s="55">
        <f>(G11*100/(G11+G16+G21))^2+(G16*100/(G11+G16+G21))^2+(G21*100/(G11+G16+G21))^2</f>
        <v>5102.0408163265311</v>
      </c>
      <c r="K16" s="3"/>
      <c r="L16" s="9"/>
    </row>
    <row r="17" spans="1:12">
      <c r="A17" s="4" t="s">
        <v>5</v>
      </c>
      <c r="B17" s="29">
        <v>383800</v>
      </c>
      <c r="C17" s="29">
        <v>26200</v>
      </c>
      <c r="D17" s="29">
        <v>22324</v>
      </c>
      <c r="E17" s="29">
        <f>B17+C17+D17</f>
        <v>432324</v>
      </c>
      <c r="F17" s="30" t="s">
        <v>14</v>
      </c>
      <c r="G17" s="133"/>
      <c r="H17" s="23"/>
      <c r="L17" s="10"/>
    </row>
    <row r="18" spans="1:12">
      <c r="B18" s="23"/>
      <c r="C18" s="23"/>
      <c r="D18" s="23"/>
      <c r="E18" s="23"/>
      <c r="F18" s="23"/>
      <c r="G18" s="23"/>
      <c r="H18" s="23"/>
      <c r="K18" s="3"/>
      <c r="L18" s="3"/>
    </row>
    <row r="19" spans="1:12">
      <c r="A19" s="4" t="s">
        <v>1</v>
      </c>
      <c r="B19" s="76"/>
      <c r="C19" s="23"/>
      <c r="D19" s="23"/>
      <c r="E19" s="23"/>
      <c r="F19" s="23"/>
      <c r="G19" s="23"/>
      <c r="H19" s="23"/>
      <c r="K19" s="3"/>
      <c r="L19" s="3"/>
    </row>
    <row r="20" spans="1:12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H20" s="23"/>
      <c r="K20" s="3"/>
      <c r="L20" s="3"/>
    </row>
    <row r="21" spans="1:12">
      <c r="A21" s="4" t="s">
        <v>4</v>
      </c>
      <c r="B21" s="29"/>
      <c r="C21" s="29"/>
      <c r="D21" s="29"/>
      <c r="E21" s="29">
        <f>B21+C21+D21</f>
        <v>0</v>
      </c>
      <c r="F21" s="30" t="s">
        <v>14</v>
      </c>
      <c r="G21" s="125"/>
      <c r="H21" s="23"/>
      <c r="K21" s="14"/>
      <c r="L21" s="3"/>
    </row>
    <row r="22" spans="1:12">
      <c r="A22" s="4" t="s">
        <v>5</v>
      </c>
      <c r="B22" s="29"/>
      <c r="C22" s="29"/>
      <c r="D22" s="29"/>
      <c r="E22" s="29">
        <f>B22+C22+D22</f>
        <v>0</v>
      </c>
      <c r="F22" s="30" t="s">
        <v>14</v>
      </c>
      <c r="G22" s="125"/>
      <c r="H22" s="23"/>
      <c r="K22" s="12"/>
      <c r="L22" s="3"/>
    </row>
    <row r="23" spans="1:12">
      <c r="B23" s="23"/>
      <c r="C23" s="23"/>
      <c r="D23" s="23"/>
      <c r="E23" s="23"/>
      <c r="F23" s="23"/>
      <c r="G23" s="23"/>
      <c r="H23" s="23"/>
    </row>
    <row r="24" spans="1:12" s="42" customFormat="1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 s="42" customFormat="1">
      <c r="A25" s="44" t="s">
        <v>19</v>
      </c>
      <c r="B25" s="46">
        <f>(((B11+B12)/2*$G$11+(B16+B17)/2*$G$16+(B21+B22)/2*$G$21))/($G$11+$G$16+$G$21)/$B$5</f>
        <v>506.53874263322393</v>
      </c>
      <c r="C25" s="46">
        <f>(((C11+C12)/2*$G$11+(C16+C17)/2*$G$16+(C21+C22)/2*$G$21)/($G$11+$G$16+$G$21))/$B$5</f>
        <v>28.083160988353107</v>
      </c>
      <c r="D25" s="46">
        <f>(((D11+D12)/2*$G$11+(D16+D17)/2*$G$16+(D21+D22)/2*$G$21)/($G$11+$G$16+$G$21))/$B$5</f>
        <v>21.989457152187097</v>
      </c>
      <c r="E25" s="46">
        <f>B25+C25+D25</f>
        <v>556.6113607737642</v>
      </c>
      <c r="H25" s="61"/>
      <c r="I25" s="61"/>
    </row>
    <row r="28" spans="1:12">
      <c r="A28" t="s">
        <v>9</v>
      </c>
      <c r="B28" s="126" t="s">
        <v>146</v>
      </c>
      <c r="C28" s="127"/>
      <c r="D28" s="23"/>
      <c r="E28" s="23"/>
      <c r="F28" s="23"/>
      <c r="G28" s="23"/>
    </row>
    <row r="29" spans="1:12">
      <c r="A29" t="s">
        <v>18</v>
      </c>
      <c r="B29" s="23">
        <v>352.05</v>
      </c>
      <c r="C29" s="23"/>
      <c r="D29" s="23"/>
      <c r="E29" s="23"/>
      <c r="F29" s="23"/>
      <c r="G29" s="23"/>
    </row>
    <row r="30" spans="1:12">
      <c r="A30" t="s">
        <v>11</v>
      </c>
      <c r="B30" s="25">
        <v>43413</v>
      </c>
      <c r="C30" s="23"/>
      <c r="D30" s="23"/>
      <c r="E30" s="23"/>
      <c r="F30" s="23"/>
      <c r="G30" s="23"/>
    </row>
    <row r="31" spans="1:12">
      <c r="A31" t="s">
        <v>12</v>
      </c>
      <c r="B31" s="25">
        <v>43432</v>
      </c>
      <c r="C31" s="23"/>
      <c r="D31" s="23"/>
      <c r="E31" s="23"/>
      <c r="F31" s="23"/>
      <c r="G31" s="23"/>
    </row>
    <row r="32" spans="1:12">
      <c r="B32" s="23"/>
      <c r="C32" s="23"/>
      <c r="D32" s="23"/>
      <c r="E32" s="23"/>
      <c r="F32" s="23"/>
      <c r="G32" s="23"/>
    </row>
    <row r="33" spans="1:12">
      <c r="A33" s="4" t="s">
        <v>1</v>
      </c>
      <c r="B33" s="76" t="s">
        <v>17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261100</v>
      </c>
      <c r="C35" s="29">
        <v>26200</v>
      </c>
      <c r="D35" s="29">
        <v>19556</v>
      </c>
      <c r="E35" s="29">
        <f>B35+C35+D35</f>
        <v>306856</v>
      </c>
      <c r="F35" s="30" t="s">
        <v>14</v>
      </c>
      <c r="G35" s="125">
        <v>35</v>
      </c>
    </row>
    <row r="36" spans="1:12">
      <c r="A36" s="4" t="s">
        <v>5</v>
      </c>
      <c r="B36" s="29">
        <v>547300</v>
      </c>
      <c r="C36" s="29">
        <v>26200</v>
      </c>
      <c r="D36" s="29">
        <v>13318</v>
      </c>
      <c r="E36" s="29">
        <f>B36+C36+D36</f>
        <v>586818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6" t="s">
        <v>27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54</v>
      </c>
      <c r="K39" s="3"/>
    </row>
    <row r="40" spans="1:12">
      <c r="A40" s="4" t="s">
        <v>4</v>
      </c>
      <c r="B40" s="29">
        <v>393200</v>
      </c>
      <c r="C40" s="29">
        <v>25400</v>
      </c>
      <c r="D40" s="29">
        <v>22136</v>
      </c>
      <c r="E40" s="29">
        <f>B40+C40+D40</f>
        <v>440736</v>
      </c>
      <c r="F40" s="30" t="s">
        <v>14</v>
      </c>
      <c r="G40" s="125">
        <v>19</v>
      </c>
      <c r="I40" s="54" t="s">
        <v>61</v>
      </c>
      <c r="J40" s="55">
        <f>(G35*100/(G35+G40+G45))^2+(G40*100/(G35+G40+G45))^2+(G45*100/(G35+G40+G45))^2</f>
        <v>5438.9574759945126</v>
      </c>
      <c r="L40" s="9"/>
    </row>
    <row r="41" spans="1:12">
      <c r="A41" s="4" t="s">
        <v>5</v>
      </c>
      <c r="B41" s="29">
        <v>515900</v>
      </c>
      <c r="C41" s="29">
        <v>26200</v>
      </c>
      <c r="D41" s="29">
        <v>23626</v>
      </c>
      <c r="E41" s="29">
        <f>B41+C41+D41</f>
        <v>565726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6" t="s">
        <v>147</v>
      </c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>
        <v>0</v>
      </c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7" spans="1:12">
      <c r="B47" s="23"/>
      <c r="C47" s="23"/>
      <c r="D47" s="23"/>
      <c r="E47" s="23"/>
      <c r="F47" s="23"/>
      <c r="G47" s="23"/>
    </row>
    <row r="48" spans="1:12" s="42" customFormat="1">
      <c r="B48" s="78" t="s">
        <v>8</v>
      </c>
      <c r="C48" s="78" t="s">
        <v>7</v>
      </c>
      <c r="D48" s="78" t="s">
        <v>6</v>
      </c>
      <c r="E48" s="78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(((B35+B36)/2*$G$35+(B40+B41)/2*$G$40+(B45+B46)/2*$G$45))/($J$39)/$B$29</f>
        <v>1198.4540285207804</v>
      </c>
      <c r="C49" s="46">
        <f t="shared" ref="C49:D49" si="0">(((C35+C36)/2*$G$35+(C40+C41)/2*$G$40+(C45+C46)/2*$G$45))/($J$39)/$B$29</f>
        <v>74.021472118333364</v>
      </c>
      <c r="D49" s="46">
        <f t="shared" si="0"/>
        <v>53.129763764616762</v>
      </c>
      <c r="E49" s="46">
        <f>B49+C49+D49</f>
        <v>1325.6052644037304</v>
      </c>
      <c r="H49" s="61"/>
      <c r="I49" s="61"/>
    </row>
    <row r="52" spans="1:12">
      <c r="A52" t="s">
        <v>9</v>
      </c>
      <c r="B52" s="126" t="s">
        <v>148</v>
      </c>
      <c r="C52" s="127"/>
      <c r="D52" s="23"/>
      <c r="E52" s="23"/>
      <c r="F52" s="23"/>
      <c r="G52" s="23"/>
    </row>
    <row r="53" spans="1:12">
      <c r="A53" t="s">
        <v>18</v>
      </c>
      <c r="B53" s="23">
        <v>799.76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6" t="s">
        <v>17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368100</v>
      </c>
      <c r="C59" s="29">
        <v>24700</v>
      </c>
      <c r="D59" s="29">
        <v>15276</v>
      </c>
      <c r="E59" s="29">
        <f>B59+C59+D59</f>
        <v>408076</v>
      </c>
      <c r="F59" s="30" t="s">
        <v>14</v>
      </c>
      <c r="G59" s="125">
        <v>36</v>
      </c>
    </row>
    <row r="60" spans="1:12">
      <c r="A60" s="4" t="s">
        <v>5</v>
      </c>
      <c r="B60" s="29">
        <v>1047500</v>
      </c>
      <c r="C60" s="29">
        <v>24700</v>
      </c>
      <c r="D60" s="29">
        <v>23864</v>
      </c>
      <c r="E60" s="29">
        <f>B60+C60+D60</f>
        <v>1096064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6" t="s">
        <v>27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</f>
        <v>53</v>
      </c>
      <c r="K63" s="3"/>
    </row>
    <row r="64" spans="1:12">
      <c r="A64" s="4" t="s">
        <v>4</v>
      </c>
      <c r="B64" s="29">
        <v>578800</v>
      </c>
      <c r="C64" s="29">
        <v>24700</v>
      </c>
      <c r="D64" s="29">
        <v>45141</v>
      </c>
      <c r="E64" s="29">
        <f>B64+C64+D64</f>
        <v>648641</v>
      </c>
      <c r="F64" s="30" t="s">
        <v>14</v>
      </c>
      <c r="G64" s="125">
        <v>8</v>
      </c>
      <c r="I64" s="54" t="s">
        <v>61</v>
      </c>
      <c r="J64" s="55">
        <f>(G59*100/(G59+G64+G69))^2+(G64*100/(G59+G64+G69))^2+(G69*100/(G59+G64+G69))^2</f>
        <v>5129.9394802420793</v>
      </c>
      <c r="L64" s="9"/>
    </row>
    <row r="65" spans="1:12">
      <c r="A65" s="4" t="s">
        <v>5</v>
      </c>
      <c r="B65" s="29"/>
      <c r="C65" s="29"/>
      <c r="D65" s="29"/>
      <c r="E65" s="29">
        <f>B65+C65+D65</f>
        <v>0</v>
      </c>
      <c r="F65" s="30" t="s">
        <v>14</v>
      </c>
      <c r="G65" s="125"/>
      <c r="L65" s="10"/>
    </row>
    <row r="66" spans="1:12">
      <c r="B66" s="23"/>
      <c r="C66" s="23"/>
      <c r="D66" s="23"/>
      <c r="E66" s="23"/>
      <c r="F66" s="23"/>
      <c r="G66" s="23"/>
      <c r="K66" s="3"/>
      <c r="L66" s="3"/>
    </row>
    <row r="67" spans="1:12">
      <c r="A67" s="4" t="s">
        <v>1</v>
      </c>
      <c r="B67" s="76" t="s">
        <v>25</v>
      </c>
      <c r="C67" s="23"/>
      <c r="D67" s="23"/>
      <c r="E67" s="23"/>
      <c r="F67" s="23"/>
      <c r="G67" s="23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K68" s="3"/>
      <c r="L68" s="3"/>
    </row>
    <row r="69" spans="1:12">
      <c r="A69" s="4" t="s">
        <v>4</v>
      </c>
      <c r="B69" s="29">
        <v>556800</v>
      </c>
      <c r="C69" s="29">
        <v>24700</v>
      </c>
      <c r="D69" s="29">
        <v>31194</v>
      </c>
      <c r="E69" s="29">
        <f>B69+C69+D69</f>
        <v>612694</v>
      </c>
      <c r="F69" s="30" t="s">
        <v>14</v>
      </c>
      <c r="G69" s="125">
        <v>9</v>
      </c>
      <c r="K69" s="14"/>
      <c r="L69" s="3"/>
    </row>
    <row r="70" spans="1:12">
      <c r="A70" s="4" t="s">
        <v>5</v>
      </c>
      <c r="B70" s="29">
        <v>641700</v>
      </c>
      <c r="C70" s="29">
        <v>24700</v>
      </c>
      <c r="D70" s="29">
        <v>35710</v>
      </c>
      <c r="E70" s="29">
        <f>B70+C70+D70</f>
        <v>702110</v>
      </c>
      <c r="F70" s="30" t="s">
        <v>14</v>
      </c>
      <c r="G70" s="125"/>
      <c r="K70" s="12"/>
      <c r="L70" s="3"/>
    </row>
    <row r="72" spans="1:12" s="42" customFormat="1">
      <c r="B72" s="78" t="s">
        <v>8</v>
      </c>
      <c r="C72" s="78" t="s">
        <v>7</v>
      </c>
      <c r="D72" s="78" t="s">
        <v>6</v>
      </c>
      <c r="E72" s="78" t="s">
        <v>10</v>
      </c>
      <c r="I72" s="47"/>
      <c r="J72" s="11"/>
      <c r="K72" s="47"/>
    </row>
    <row r="73" spans="1:12" s="42" customFormat="1">
      <c r="A73" s="44" t="s">
        <v>19</v>
      </c>
      <c r="B73" s="46">
        <f>(((B59+B60)/2*$G$59+(B64+B65)/2*$G$64+(B69+B70)/2*$G$69))/($J$63)/$B$53</f>
        <v>783.00023025775658</v>
      </c>
      <c r="C73" s="46">
        <f t="shared" ref="C73:D73" si="1">(((C59+C60)/2*$G$59+(C64+C65)/2*$G$64+(C69+C70)/2*$G$69))/($J$63)/$B$53</f>
        <v>28.553377333954902</v>
      </c>
      <c r="D73" s="46">
        <f t="shared" si="1"/>
        <v>27.983678122304617</v>
      </c>
      <c r="E73" s="46">
        <f>B73+C73+D73</f>
        <v>839.53728571401609</v>
      </c>
      <c r="H73" s="61"/>
      <c r="I73" s="61"/>
    </row>
    <row r="76" spans="1:12">
      <c r="A76" t="s">
        <v>9</v>
      </c>
      <c r="B76" s="126" t="s">
        <v>149</v>
      </c>
      <c r="C76" s="127"/>
      <c r="D76" s="23"/>
      <c r="E76" s="23"/>
      <c r="F76" s="23"/>
      <c r="G76" s="23"/>
    </row>
    <row r="77" spans="1:12">
      <c r="A77" t="s">
        <v>18</v>
      </c>
      <c r="B77" s="23">
        <v>594.29999999999995</v>
      </c>
      <c r="C77" s="23"/>
      <c r="D77" s="23"/>
      <c r="E77" s="23"/>
      <c r="F77" s="23"/>
      <c r="G77" s="23"/>
    </row>
    <row r="78" spans="1:12">
      <c r="A78" t="s">
        <v>11</v>
      </c>
      <c r="B78" s="25">
        <v>43413</v>
      </c>
      <c r="C78" s="23"/>
      <c r="D78" s="23"/>
      <c r="E78" s="23"/>
      <c r="F78" s="23"/>
      <c r="G78" s="23"/>
    </row>
    <row r="79" spans="1:12">
      <c r="A79" t="s">
        <v>12</v>
      </c>
      <c r="B79" s="25">
        <v>43432</v>
      </c>
      <c r="C79" s="23"/>
      <c r="D79" s="23"/>
      <c r="E79" s="23"/>
      <c r="F79" s="23"/>
      <c r="G79" s="23"/>
    </row>
    <row r="80" spans="1:12">
      <c r="B80" s="23"/>
      <c r="C80" s="23"/>
      <c r="D80" s="23"/>
      <c r="E80" s="23"/>
      <c r="F80" s="23"/>
      <c r="G80" s="23"/>
    </row>
    <row r="81" spans="1:12">
      <c r="A81" s="4" t="s">
        <v>1</v>
      </c>
      <c r="B81" s="76" t="s">
        <v>17</v>
      </c>
      <c r="C81" s="23"/>
      <c r="D81" s="23"/>
      <c r="E81" s="23"/>
      <c r="F81" s="23"/>
      <c r="G81" s="23"/>
    </row>
    <row r="82" spans="1:12">
      <c r="A82" s="4" t="s">
        <v>3</v>
      </c>
      <c r="B82" s="28" t="s">
        <v>8</v>
      </c>
      <c r="C82" s="28" t="s">
        <v>7</v>
      </c>
      <c r="D82" s="28" t="s">
        <v>6</v>
      </c>
      <c r="E82" s="28" t="s">
        <v>10</v>
      </c>
      <c r="F82" s="28" t="s">
        <v>13</v>
      </c>
      <c r="G82" s="28" t="s">
        <v>15</v>
      </c>
    </row>
    <row r="83" spans="1:12">
      <c r="A83" s="4" t="s">
        <v>4</v>
      </c>
      <c r="B83" s="29">
        <v>465600</v>
      </c>
      <c r="C83" s="29">
        <v>24700</v>
      </c>
      <c r="D83" s="29">
        <v>11483</v>
      </c>
      <c r="E83" s="29">
        <f>B83+C83+D83</f>
        <v>501783</v>
      </c>
      <c r="F83" s="30" t="s">
        <v>14</v>
      </c>
      <c r="G83" s="125">
        <v>4</v>
      </c>
    </row>
    <row r="84" spans="1:12">
      <c r="A84" s="4" t="s">
        <v>5</v>
      </c>
      <c r="B84" s="29"/>
      <c r="C84" s="29"/>
      <c r="D84" s="29"/>
      <c r="E84" s="29">
        <f>B84+C84+D84</f>
        <v>0</v>
      </c>
      <c r="F84" s="30" t="s">
        <v>14</v>
      </c>
      <c r="G84" s="125"/>
    </row>
    <row r="85" spans="1:12">
      <c r="B85" s="23"/>
      <c r="C85" s="23"/>
      <c r="D85" s="23"/>
      <c r="E85" s="23"/>
      <c r="F85" s="23"/>
      <c r="G85" s="23"/>
      <c r="K85" s="82"/>
    </row>
    <row r="86" spans="1:12">
      <c r="A86" s="4" t="s">
        <v>1</v>
      </c>
      <c r="B86" s="76" t="s">
        <v>147</v>
      </c>
      <c r="C86" s="23"/>
      <c r="D86" s="23"/>
      <c r="E86" s="23"/>
      <c r="F86" s="23"/>
      <c r="G86" s="23"/>
      <c r="K86" s="2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  <c r="I87" s="57" t="s">
        <v>63</v>
      </c>
      <c r="J87" s="12">
        <f>G83+G88+G93</f>
        <v>8</v>
      </c>
      <c r="K87" s="3"/>
    </row>
    <row r="88" spans="1:12">
      <c r="A88" s="4" t="s">
        <v>4</v>
      </c>
      <c r="B88" s="29">
        <v>660600</v>
      </c>
      <c r="C88" s="29">
        <v>24700</v>
      </c>
      <c r="D88" s="29">
        <v>36715</v>
      </c>
      <c r="E88" s="29">
        <f>B88+C88+D88</f>
        <v>722015</v>
      </c>
      <c r="F88" s="30" t="s">
        <v>14</v>
      </c>
      <c r="G88" s="125">
        <v>4</v>
      </c>
      <c r="I88" s="54" t="s">
        <v>61</v>
      </c>
      <c r="J88" s="55">
        <f>(G83*100/(G83+G88+G93))^2+(G88*100/(G83+G88+G93))^2+(G93*100/(G83+G88+G93))^2</f>
        <v>5000</v>
      </c>
      <c r="L88" s="9"/>
    </row>
    <row r="89" spans="1:12">
      <c r="A89" s="4" t="s">
        <v>5</v>
      </c>
      <c r="B89" s="29"/>
      <c r="C89" s="29"/>
      <c r="D89" s="29"/>
      <c r="E89" s="29">
        <f>B89+C89+D89</f>
        <v>0</v>
      </c>
      <c r="F89" s="30" t="s">
        <v>14</v>
      </c>
      <c r="G89" s="125"/>
      <c r="L89" s="10"/>
    </row>
    <row r="90" spans="1:12">
      <c r="B90" s="23"/>
      <c r="C90" s="23"/>
      <c r="D90" s="23"/>
      <c r="E90" s="23"/>
      <c r="F90" s="23"/>
      <c r="G90" s="23"/>
      <c r="K90" s="3"/>
      <c r="L90" s="3"/>
    </row>
    <row r="91" spans="1:12">
      <c r="A91" s="4" t="s">
        <v>1</v>
      </c>
      <c r="B91" s="76"/>
      <c r="C91" s="23"/>
      <c r="D91" s="23"/>
      <c r="E91" s="23"/>
      <c r="F91" s="23"/>
      <c r="G91" s="23"/>
      <c r="K91" s="3"/>
      <c r="L91" s="3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K92" s="3"/>
      <c r="L92" s="3"/>
    </row>
    <row r="93" spans="1:12">
      <c r="A93" s="4" t="s">
        <v>4</v>
      </c>
      <c r="B93" s="29"/>
      <c r="C93" s="29"/>
      <c r="D93" s="29"/>
      <c r="E93" s="29">
        <f>B93+C93+D93</f>
        <v>0</v>
      </c>
      <c r="F93" s="30" t="s">
        <v>14</v>
      </c>
      <c r="G93" s="125"/>
      <c r="K93" s="14"/>
      <c r="L93" s="3"/>
    </row>
    <row r="94" spans="1:12">
      <c r="A94" s="4" t="s">
        <v>5</v>
      </c>
      <c r="B94" s="29"/>
      <c r="C94" s="29"/>
      <c r="D94" s="29"/>
      <c r="E94" s="29">
        <f>B94+C94+D94</f>
        <v>0</v>
      </c>
      <c r="F94" s="30" t="s">
        <v>14</v>
      </c>
      <c r="G94" s="125"/>
      <c r="K94" s="12"/>
      <c r="L94" s="3"/>
    </row>
    <row r="96" spans="1:12" s="42" customFormat="1">
      <c r="B96" s="78" t="s">
        <v>8</v>
      </c>
      <c r="C96" s="78" t="s">
        <v>7</v>
      </c>
      <c r="D96" s="78" t="s">
        <v>6</v>
      </c>
      <c r="E96" s="78" t="s">
        <v>10</v>
      </c>
      <c r="I96" s="47"/>
      <c r="J96" s="11"/>
      <c r="K96" s="47"/>
    </row>
    <row r="97" spans="1:12" s="42" customFormat="1">
      <c r="A97" s="44" t="s">
        <v>19</v>
      </c>
      <c r="B97" s="46">
        <f>(((B83+B84)/2*$G$83+(B88+B89)/2*$G$88+(B93+B94)/2*$G$93))/($J$87)/$B$77</f>
        <v>473.75063099444731</v>
      </c>
      <c r="C97" s="46">
        <f t="shared" ref="C97:D97" si="2">(((C83+C84)/2*$G$83+(C88+C89)/2*$G$88+(C93+C94)/2*$G$93))/($J$87)/$B$77</f>
        <v>20.780750462729262</v>
      </c>
      <c r="D97" s="46">
        <f t="shared" si="2"/>
        <v>20.275113579000507</v>
      </c>
      <c r="E97" s="46">
        <f>B97+C97+D97</f>
        <v>514.80649503617713</v>
      </c>
      <c r="H97" s="61"/>
      <c r="I97" s="61"/>
    </row>
    <row r="100" spans="1:12">
      <c r="A100" t="s">
        <v>9</v>
      </c>
      <c r="B100" s="126" t="s">
        <v>165</v>
      </c>
      <c r="C100" s="127"/>
      <c r="D100" s="23"/>
      <c r="E100" s="23"/>
      <c r="F100" s="23"/>
      <c r="G100" s="23"/>
    </row>
    <row r="101" spans="1:12">
      <c r="A101" t="s">
        <v>18</v>
      </c>
      <c r="B101" s="23">
        <f>(509.71+524)/2</f>
        <v>516.85500000000002</v>
      </c>
      <c r="C101" s="23"/>
      <c r="D101" s="23"/>
      <c r="E101" s="23"/>
      <c r="F101" s="23"/>
      <c r="G101" s="23"/>
    </row>
    <row r="102" spans="1:12">
      <c r="A102" t="s">
        <v>11</v>
      </c>
      <c r="B102" s="25">
        <v>43413</v>
      </c>
      <c r="C102" s="23"/>
      <c r="D102" s="23"/>
      <c r="E102" s="23"/>
      <c r="F102" s="23"/>
      <c r="G102" s="23"/>
    </row>
    <row r="103" spans="1:12">
      <c r="A103" t="s">
        <v>12</v>
      </c>
      <c r="B103" s="25">
        <v>43432</v>
      </c>
      <c r="C103" s="23"/>
      <c r="D103" s="23"/>
      <c r="E103" s="23"/>
      <c r="F103" s="23"/>
      <c r="G103" s="23"/>
    </row>
    <row r="104" spans="1:12">
      <c r="B104" s="23"/>
      <c r="C104" s="23"/>
      <c r="D104" s="23"/>
      <c r="E104" s="23"/>
      <c r="F104" s="23"/>
      <c r="G104" s="23"/>
    </row>
    <row r="105" spans="1:12">
      <c r="A105" s="4" t="s">
        <v>1</v>
      </c>
      <c r="B105" s="76" t="s">
        <v>17</v>
      </c>
      <c r="C105" s="23"/>
      <c r="D105" s="23"/>
      <c r="E105" s="23"/>
      <c r="F105" s="23"/>
      <c r="G105" s="23"/>
    </row>
    <row r="106" spans="1:12">
      <c r="A106" s="4" t="s">
        <v>3</v>
      </c>
      <c r="B106" s="28" t="s">
        <v>8</v>
      </c>
      <c r="C106" s="28" t="s">
        <v>7</v>
      </c>
      <c r="D106" s="28" t="s">
        <v>6</v>
      </c>
      <c r="E106" s="28" t="s">
        <v>10</v>
      </c>
      <c r="F106" s="28" t="s">
        <v>13</v>
      </c>
      <c r="G106" s="28" t="s">
        <v>15</v>
      </c>
    </row>
    <row r="107" spans="1:12">
      <c r="A107" s="4" t="s">
        <v>4</v>
      </c>
      <c r="B107" s="29">
        <v>242200</v>
      </c>
      <c r="C107" s="29">
        <v>26200</v>
      </c>
      <c r="D107" s="29">
        <v>20312</v>
      </c>
      <c r="E107" s="29">
        <f>B107+C107+D107</f>
        <v>288712</v>
      </c>
      <c r="F107" s="30" t="s">
        <v>14</v>
      </c>
      <c r="G107" s="125">
        <v>15</v>
      </c>
    </row>
    <row r="108" spans="1:12">
      <c r="A108" s="4" t="s">
        <v>5</v>
      </c>
      <c r="B108" s="29">
        <v>487600</v>
      </c>
      <c r="C108" s="29">
        <v>26200</v>
      </c>
      <c r="D108" s="29">
        <v>12047</v>
      </c>
      <c r="E108" s="29">
        <f>B108+C108+D108</f>
        <v>525847</v>
      </c>
      <c r="F108" s="30" t="s">
        <v>14</v>
      </c>
      <c r="G108" s="125"/>
    </row>
    <row r="109" spans="1:12">
      <c r="B109" s="23"/>
      <c r="C109" s="23"/>
      <c r="D109" s="23"/>
      <c r="E109" s="23"/>
      <c r="F109" s="23"/>
      <c r="G109" s="23"/>
      <c r="K109" s="82"/>
    </row>
    <row r="110" spans="1:12">
      <c r="A110" s="4" t="s">
        <v>1</v>
      </c>
      <c r="B110" s="76" t="s">
        <v>27</v>
      </c>
      <c r="C110" s="23"/>
      <c r="D110" s="23"/>
      <c r="E110" s="23"/>
      <c r="F110" s="23"/>
      <c r="G110" s="23"/>
      <c r="K110" s="2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  <c r="I111" s="57" t="s">
        <v>63</v>
      </c>
      <c r="J111" s="12">
        <f>G107+G112+G117</f>
        <v>42</v>
      </c>
      <c r="K111" s="3"/>
    </row>
    <row r="112" spans="1:12">
      <c r="A112" s="4" t="s">
        <v>4</v>
      </c>
      <c r="B112" s="29">
        <v>383800</v>
      </c>
      <c r="C112" s="29">
        <v>25900</v>
      </c>
      <c r="D112" s="29">
        <v>22324</v>
      </c>
      <c r="E112" s="29">
        <f>B112+C112+D112</f>
        <v>432024</v>
      </c>
      <c r="F112" s="30" t="s">
        <v>14</v>
      </c>
      <c r="G112" s="125">
        <v>4</v>
      </c>
      <c r="I112" s="54" t="s">
        <v>61</v>
      </c>
      <c r="J112" s="55">
        <f>(G107*100/(G107+G112+G117))^2+(G112*100/(G107+G112+G117))^2+(G117*100/(G107+G112+G117))^2</f>
        <v>4365.0793650793648</v>
      </c>
      <c r="L112" s="9"/>
    </row>
    <row r="113" spans="1:12">
      <c r="A113" s="4" t="s">
        <v>5</v>
      </c>
      <c r="B113" s="29"/>
      <c r="C113" s="29"/>
      <c r="D113" s="29"/>
      <c r="E113" s="29">
        <f>B113+C113+D113</f>
        <v>0</v>
      </c>
      <c r="F113" s="30" t="s">
        <v>14</v>
      </c>
      <c r="G113" s="125"/>
      <c r="L113" s="10"/>
    </row>
    <row r="114" spans="1:12">
      <c r="B114" s="23"/>
      <c r="C114" s="23"/>
      <c r="D114" s="23"/>
      <c r="E114" s="23"/>
      <c r="F114" s="23"/>
      <c r="G114" s="23"/>
      <c r="K114" s="3"/>
      <c r="L114" s="3"/>
    </row>
    <row r="115" spans="1:12">
      <c r="A115" s="4" t="s">
        <v>1</v>
      </c>
      <c r="B115" s="76" t="s">
        <v>147</v>
      </c>
      <c r="C115" s="23"/>
      <c r="D115" s="23"/>
      <c r="E115" s="23"/>
      <c r="F115" s="23"/>
      <c r="G115" s="23"/>
      <c r="K115" s="3"/>
      <c r="L115" s="3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K116" s="3"/>
      <c r="L116" s="3"/>
    </row>
    <row r="117" spans="1:12">
      <c r="A117" s="4" t="s">
        <v>4</v>
      </c>
      <c r="B117" s="29">
        <v>364900</v>
      </c>
      <c r="C117" s="29">
        <v>26200</v>
      </c>
      <c r="D117" s="29">
        <v>26351</v>
      </c>
      <c r="E117" s="29">
        <f>B117+C117+D117</f>
        <v>417451</v>
      </c>
      <c r="F117" s="30" t="s">
        <v>14</v>
      </c>
      <c r="G117" s="125">
        <v>23</v>
      </c>
      <c r="K117" s="14"/>
      <c r="L117" s="3"/>
    </row>
    <row r="118" spans="1:12">
      <c r="A118" s="4" t="s">
        <v>5</v>
      </c>
      <c r="B118" s="29">
        <v>726600</v>
      </c>
      <c r="C118" s="29">
        <v>24500</v>
      </c>
      <c r="D118" s="29">
        <v>40213</v>
      </c>
      <c r="E118" s="29">
        <f>B118+C118+D118</f>
        <v>791313</v>
      </c>
      <c r="F118" s="30" t="s">
        <v>14</v>
      </c>
      <c r="G118" s="125"/>
      <c r="K118" s="12"/>
      <c r="L118" s="3"/>
    </row>
    <row r="120" spans="1:12" s="42" customFormat="1">
      <c r="B120" s="78" t="s">
        <v>8</v>
      </c>
      <c r="C120" s="78" t="s">
        <v>7</v>
      </c>
      <c r="D120" s="78" t="s">
        <v>6</v>
      </c>
      <c r="E120" s="78" t="s">
        <v>10</v>
      </c>
      <c r="I120" s="47"/>
      <c r="J120" s="11"/>
      <c r="K120" s="47"/>
    </row>
    <row r="121" spans="1:12" s="42" customFormat="1">
      <c r="A121" s="44" t="s">
        <v>19</v>
      </c>
      <c r="B121" s="46">
        <f>(((B107+B108)/2*$G$107+(B112+B113)/2*$G$112+(B117+B118)/2*$G$117))/($J$111)/$B$101</f>
        <v>865.7374201385577</v>
      </c>
      <c r="C121" s="46">
        <f t="shared" ref="C121:D121" si="3">(((C107+C108)/2*$G$107+(C112+C113)/2*$G$112+(C117+C118)/2*$G$117))/($J$111)/$B$101</f>
        <v>47.349099936382629</v>
      </c>
      <c r="D121" s="46">
        <f t="shared" si="3"/>
        <v>48.49967131796658</v>
      </c>
      <c r="E121" s="46">
        <f>B121+C121+D121</f>
        <v>961.58619139290693</v>
      </c>
      <c r="H121" s="61"/>
      <c r="I121" s="61"/>
    </row>
    <row r="124" spans="1:12" s="42" customFormat="1" ht="30">
      <c r="A124" s="77" t="s">
        <v>64</v>
      </c>
      <c r="B124" s="67" t="s">
        <v>78</v>
      </c>
      <c r="C124" s="67" t="s">
        <v>80</v>
      </c>
      <c r="D124" s="44" t="s">
        <v>81</v>
      </c>
      <c r="E124" s="67" t="s">
        <v>79</v>
      </c>
    </row>
    <row r="125" spans="1:12" s="42" customFormat="1">
      <c r="A125" s="56">
        <f>(J15*J16+J39*J40+J63*J64+J87*J88+J111*J112)/(J15+J39+J63+J87+J111)</f>
        <v>5031.3005901663073</v>
      </c>
      <c r="B125" s="63">
        <f>(B25*$J$15+B49*$J$39+B73*$J$63+B97*$J$87+B121*$J$111)/($J$15+$J$39+$J$63+$J$87+$J$111)</f>
        <v>897.41549025978588</v>
      </c>
      <c r="C125" s="63">
        <f t="shared" ref="C125:D125" si="4">(C25*$J$15+C49*$J$39+C73*$J$63+C97*$J$87+C121*$J$111)/($J$15+$J$39+$J$63+$J$87+$J$111)</f>
        <v>47.126087414950057</v>
      </c>
      <c r="D125" s="63">
        <f t="shared" si="4"/>
        <v>40.11217361338403</v>
      </c>
      <c r="E125" s="63">
        <f>B125+C125+D125</f>
        <v>984.65375128811991</v>
      </c>
    </row>
    <row r="126" spans="1:12" s="42" customFormat="1"/>
    <row r="127" spans="1:12" s="42" customFormat="1">
      <c r="A127" s="44" t="s">
        <v>83</v>
      </c>
      <c r="B127" s="68">
        <f>C125/E125</f>
        <v>4.7860567588657338E-2</v>
      </c>
    </row>
  </sheetData>
  <mergeCells count="21">
    <mergeCell ref="G64:G65"/>
    <mergeCell ref="A1:G3"/>
    <mergeCell ref="B4:C4"/>
    <mergeCell ref="G11:G12"/>
    <mergeCell ref="G16:G17"/>
    <mergeCell ref="G21:G22"/>
    <mergeCell ref="B28:C28"/>
    <mergeCell ref="G35:G36"/>
    <mergeCell ref="G40:G41"/>
    <mergeCell ref="G45:G46"/>
    <mergeCell ref="B52:C52"/>
    <mergeCell ref="G59:G60"/>
    <mergeCell ref="G107:G108"/>
    <mergeCell ref="G112:G113"/>
    <mergeCell ref="G117:G118"/>
    <mergeCell ref="G69:G70"/>
    <mergeCell ref="B76:C76"/>
    <mergeCell ref="G83:G84"/>
    <mergeCell ref="G88:G89"/>
    <mergeCell ref="G93:G94"/>
    <mergeCell ref="B100:C10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L126"/>
  <sheetViews>
    <sheetView topLeftCell="A97" workbookViewId="0">
      <selection activeCell="B98" sqref="B98"/>
    </sheetView>
  </sheetViews>
  <sheetFormatPr baseColWidth="10" defaultRowHeight="15"/>
  <cols>
    <col min="1" max="1" width="19.42578125" bestFit="1" customWidth="1"/>
    <col min="2" max="2" width="15" customWidth="1"/>
    <col min="7" max="7" width="16.140625" bestFit="1" customWidth="1"/>
  </cols>
  <sheetData>
    <row r="4" spans="1:12">
      <c r="A4" s="23" t="s">
        <v>9</v>
      </c>
      <c r="B4" s="23" t="s">
        <v>53</v>
      </c>
      <c r="C4" s="23"/>
      <c r="D4" s="23"/>
      <c r="E4" s="23"/>
      <c r="F4" s="23"/>
      <c r="G4" s="23"/>
    </row>
    <row r="5" spans="1:12">
      <c r="A5" s="23" t="s">
        <v>18</v>
      </c>
      <c r="B5" s="23">
        <v>483.85</v>
      </c>
      <c r="C5" s="23"/>
      <c r="D5" s="23"/>
      <c r="E5" s="23"/>
      <c r="F5" s="23"/>
      <c r="G5" s="23"/>
    </row>
    <row r="6" spans="1:12">
      <c r="A6" s="23" t="s">
        <v>11</v>
      </c>
      <c r="B6" s="25">
        <v>43365</v>
      </c>
      <c r="C6" s="23"/>
      <c r="D6" s="23"/>
      <c r="E6" s="23"/>
      <c r="F6" s="23"/>
      <c r="G6" s="23"/>
    </row>
    <row r="7" spans="1:12">
      <c r="A7" s="23" t="s">
        <v>12</v>
      </c>
      <c r="B7" s="25">
        <v>43369</v>
      </c>
      <c r="C7" s="23"/>
      <c r="D7" s="23"/>
      <c r="E7" s="23"/>
      <c r="F7" s="23"/>
      <c r="G7" s="23"/>
    </row>
    <row r="8" spans="1:12">
      <c r="A8" s="23"/>
      <c r="B8" s="25"/>
      <c r="C8" s="23"/>
      <c r="D8" s="23"/>
      <c r="E8" s="23"/>
      <c r="F8" s="23"/>
      <c r="G8" s="23"/>
    </row>
    <row r="9" spans="1:12">
      <c r="A9" s="26" t="s">
        <v>1</v>
      </c>
      <c r="B9" s="27" t="s">
        <v>54</v>
      </c>
      <c r="C9" s="23"/>
      <c r="D9" s="23"/>
      <c r="E9" s="23"/>
      <c r="F9" s="23"/>
      <c r="G9" s="23"/>
    </row>
    <row r="10" spans="1:12" ht="15.75">
      <c r="A10" s="26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  <c r="J10" s="35"/>
      <c r="K10" s="16"/>
    </row>
    <row r="11" spans="1:12">
      <c r="A11" s="26" t="s">
        <v>4</v>
      </c>
      <c r="B11" s="29">
        <v>113200</v>
      </c>
      <c r="C11" s="29">
        <v>75800</v>
      </c>
      <c r="D11" s="29">
        <v>45141</v>
      </c>
      <c r="E11" s="29">
        <f>B11+C11+D11</f>
        <v>234141</v>
      </c>
      <c r="F11" s="30" t="s">
        <v>14</v>
      </c>
      <c r="G11" s="125">
        <v>6</v>
      </c>
      <c r="J11" s="9"/>
      <c r="K11" s="16"/>
    </row>
    <row r="12" spans="1:12">
      <c r="A12" s="26" t="s">
        <v>5</v>
      </c>
      <c r="B12" s="29">
        <v>229900</v>
      </c>
      <c r="C12" s="29">
        <v>75800</v>
      </c>
      <c r="D12" s="29">
        <v>29400</v>
      </c>
      <c r="E12" s="29">
        <f>B12+C12+D12</f>
        <v>335100</v>
      </c>
      <c r="F12" s="30" t="s">
        <v>14</v>
      </c>
      <c r="G12" s="125"/>
      <c r="I12" s="16"/>
      <c r="J12" s="10"/>
      <c r="K12" s="16"/>
    </row>
    <row r="13" spans="1:12">
      <c r="A13" s="23"/>
      <c r="B13" s="23"/>
      <c r="C13" s="23"/>
      <c r="D13" s="23"/>
      <c r="E13" s="23"/>
      <c r="F13" s="23"/>
      <c r="G13" s="23"/>
      <c r="I13" s="16"/>
      <c r="J13" s="12"/>
      <c r="K13" s="18"/>
    </row>
    <row r="14" spans="1:12">
      <c r="A14" s="26"/>
      <c r="B14" s="27" t="s">
        <v>55</v>
      </c>
      <c r="C14" s="23"/>
      <c r="D14" s="23"/>
      <c r="E14" s="23"/>
      <c r="F14" s="23"/>
      <c r="G14" s="23"/>
      <c r="I14" s="16"/>
      <c r="J14" s="13"/>
      <c r="K14" s="18"/>
    </row>
    <row r="15" spans="1:12">
      <c r="A15" s="26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5">
        <f>G11+G16+G21+G26+G31</f>
        <v>56</v>
      </c>
      <c r="K15" s="15"/>
      <c r="L15" s="3"/>
    </row>
    <row r="16" spans="1:12">
      <c r="A16" s="26" t="s">
        <v>4</v>
      </c>
      <c r="B16" s="29">
        <v>198100</v>
      </c>
      <c r="C16" s="29">
        <v>75800</v>
      </c>
      <c r="D16" s="29">
        <v>29400</v>
      </c>
      <c r="E16" s="29">
        <f>B16+C16+D16</f>
        <v>303300</v>
      </c>
      <c r="F16" s="30" t="s">
        <v>14</v>
      </c>
      <c r="G16" s="125">
        <v>10</v>
      </c>
      <c r="I16" s="54" t="s">
        <v>61</v>
      </c>
      <c r="J16" s="55">
        <f>(G11*100/(G11+G16+G21+G26))^2+(G16*100/(G11+G16+G21+G26))^2+(G21*100/(G11+G16+G21+G26))^2+(G26*100/(G11+G16+G21+G26))^2</f>
        <v>5535.7142857142862</v>
      </c>
      <c r="K16" s="17"/>
      <c r="L16" s="14"/>
    </row>
    <row r="17" spans="1:12">
      <c r="A17" s="26" t="s">
        <v>5</v>
      </c>
      <c r="B17" s="29">
        <v>548100</v>
      </c>
      <c r="C17" s="29">
        <v>75800</v>
      </c>
      <c r="D17" s="29">
        <v>29400</v>
      </c>
      <c r="E17" s="29">
        <f>B17+C17+D17</f>
        <v>653300</v>
      </c>
      <c r="F17" s="30" t="s">
        <v>14</v>
      </c>
      <c r="G17" s="125"/>
      <c r="I17" s="17"/>
      <c r="J17" s="12"/>
      <c r="K17" s="17"/>
      <c r="L17" s="12"/>
    </row>
    <row r="18" spans="1:12">
      <c r="A18" s="23"/>
      <c r="B18" s="23"/>
      <c r="C18" s="23"/>
      <c r="D18" s="23"/>
      <c r="E18" s="23"/>
      <c r="F18" s="23"/>
      <c r="G18" s="23"/>
      <c r="I18" s="24"/>
      <c r="J18" s="13"/>
      <c r="K18" s="24"/>
      <c r="L18" s="3"/>
    </row>
    <row r="19" spans="1:12">
      <c r="A19" s="26" t="s">
        <v>1</v>
      </c>
      <c r="B19" s="27" t="s">
        <v>56</v>
      </c>
      <c r="C19" s="23"/>
      <c r="D19" s="23"/>
      <c r="E19" s="23"/>
      <c r="F19" s="23"/>
      <c r="G19" s="23"/>
      <c r="J19" s="3"/>
      <c r="K19" s="3"/>
      <c r="L19" s="3"/>
    </row>
    <row r="20" spans="1:12">
      <c r="A20" s="26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J20" s="14"/>
      <c r="K20" s="3"/>
      <c r="L20" s="3"/>
    </row>
    <row r="21" spans="1:12">
      <c r="A21" s="26" t="s">
        <v>4</v>
      </c>
      <c r="B21" s="29">
        <v>205100</v>
      </c>
      <c r="C21" s="29">
        <v>75800</v>
      </c>
      <c r="D21" s="29">
        <v>29400</v>
      </c>
      <c r="E21" s="29">
        <f>B21+C21+D21</f>
        <v>310300</v>
      </c>
      <c r="F21" s="30" t="s">
        <v>14</v>
      </c>
      <c r="G21" s="125">
        <v>40</v>
      </c>
      <c r="J21" s="14"/>
      <c r="K21" s="14"/>
      <c r="L21" s="3"/>
    </row>
    <row r="22" spans="1:12">
      <c r="A22" s="26" t="s">
        <v>5</v>
      </c>
      <c r="B22" s="29">
        <v>795600</v>
      </c>
      <c r="C22" s="29">
        <v>75800</v>
      </c>
      <c r="D22" s="29">
        <v>29400</v>
      </c>
      <c r="E22" s="29">
        <f>B22+C22+D22</f>
        <v>900800</v>
      </c>
      <c r="F22" s="30" t="s">
        <v>14</v>
      </c>
      <c r="G22" s="125"/>
      <c r="J22" s="12"/>
      <c r="K22" s="12"/>
      <c r="L22" s="3"/>
    </row>
    <row r="23" spans="1:12">
      <c r="A23" s="23"/>
      <c r="B23" s="23"/>
      <c r="C23" s="23"/>
      <c r="D23" s="23"/>
      <c r="E23" s="23"/>
      <c r="F23" s="23"/>
      <c r="G23" s="23"/>
      <c r="J23" s="12"/>
      <c r="K23" s="3"/>
    </row>
    <row r="25" spans="1:12">
      <c r="A25" s="23"/>
      <c r="B25" s="31" t="s">
        <v>8</v>
      </c>
      <c r="C25" s="31" t="s">
        <v>7</v>
      </c>
      <c r="D25" s="31" t="s">
        <v>6</v>
      </c>
      <c r="E25" s="31" t="s">
        <v>10</v>
      </c>
    </row>
    <row r="26" spans="1:12">
      <c r="A26" s="26" t="s">
        <v>19</v>
      </c>
      <c r="B26" s="29">
        <f>(((B11+B12)/2*$G$11+(B16+B17)/2*$G$16+(B21+B22)/2*$G$21)/($G$11+$G$16+$G$21))/$B$5</f>
        <v>914.32926379190712</v>
      </c>
      <c r="C26" s="29">
        <f t="shared" ref="C26:D26" si="0">(((C11+C12)/2*$G$11+(C16+C17)/2*$G$16+(C21+C22)/2*$G$21)/($G$11+$G$16+$G$21))/$B$5</f>
        <v>156.66012193861732</v>
      </c>
      <c r="D26" s="29">
        <f t="shared" si="0"/>
        <v>62.5054621414547</v>
      </c>
      <c r="E26" s="29">
        <f>B26+C26+D26</f>
        <v>1133.4948478719791</v>
      </c>
    </row>
    <row r="30" spans="1:12">
      <c r="A30" s="23" t="s">
        <v>9</v>
      </c>
      <c r="B30" s="23" t="s">
        <v>57</v>
      </c>
      <c r="C30" s="23"/>
      <c r="D30" s="23"/>
      <c r="E30" s="23"/>
      <c r="F30" s="23"/>
      <c r="G30" s="23"/>
    </row>
    <row r="31" spans="1:12">
      <c r="A31" s="23" t="s">
        <v>18</v>
      </c>
      <c r="B31" s="23">
        <v>512.5</v>
      </c>
      <c r="C31" s="23"/>
      <c r="D31" s="23"/>
      <c r="E31" s="23"/>
      <c r="F31" s="23"/>
      <c r="G31" s="23"/>
    </row>
    <row r="32" spans="1:12">
      <c r="A32" s="23" t="s">
        <v>11</v>
      </c>
      <c r="B32" s="25">
        <v>43365</v>
      </c>
      <c r="C32" s="23"/>
      <c r="D32" s="23"/>
      <c r="E32" s="23"/>
      <c r="F32" s="23"/>
      <c r="G32" s="23"/>
    </row>
    <row r="33" spans="1:12">
      <c r="A33" s="23" t="s">
        <v>12</v>
      </c>
      <c r="B33" s="25">
        <v>43369</v>
      </c>
      <c r="C33" s="23"/>
      <c r="D33" s="23"/>
      <c r="E33" s="23"/>
      <c r="F33" s="23"/>
      <c r="G33" s="23"/>
    </row>
    <row r="34" spans="1:12">
      <c r="A34" s="23"/>
      <c r="B34" s="25"/>
      <c r="C34" s="23"/>
      <c r="D34" s="23"/>
      <c r="E34" s="23"/>
      <c r="F34" s="23"/>
      <c r="G34" s="23"/>
    </row>
    <row r="35" spans="1:12">
      <c r="A35" s="26" t="s">
        <v>1</v>
      </c>
      <c r="B35" s="27" t="s">
        <v>54</v>
      </c>
      <c r="C35" s="23"/>
      <c r="D35" s="23"/>
      <c r="E35" s="23"/>
      <c r="F35" s="23"/>
      <c r="G35" s="23"/>
    </row>
    <row r="36" spans="1:12" ht="15.75">
      <c r="A36" s="26" t="s">
        <v>3</v>
      </c>
      <c r="B36" s="28" t="s">
        <v>8</v>
      </c>
      <c r="C36" s="28" t="s">
        <v>7</v>
      </c>
      <c r="D36" s="28" t="s">
        <v>6</v>
      </c>
      <c r="E36" s="28" t="s">
        <v>10</v>
      </c>
      <c r="F36" s="28" t="s">
        <v>13</v>
      </c>
      <c r="G36" s="28" t="s">
        <v>15</v>
      </c>
      <c r="J36" s="35"/>
      <c r="K36" s="16"/>
    </row>
    <row r="37" spans="1:12">
      <c r="A37" s="26" t="s">
        <v>4</v>
      </c>
      <c r="B37" s="29">
        <v>509200</v>
      </c>
      <c r="C37" s="29">
        <v>75800</v>
      </c>
      <c r="D37" s="29">
        <v>45141</v>
      </c>
      <c r="E37" s="29">
        <f>B37+C37+D37</f>
        <v>630141</v>
      </c>
      <c r="F37" s="30" t="s">
        <v>14</v>
      </c>
      <c r="G37" s="125">
        <v>6</v>
      </c>
      <c r="J37" s="9"/>
      <c r="K37" s="16"/>
    </row>
    <row r="38" spans="1:12">
      <c r="A38" s="26" t="s">
        <v>5</v>
      </c>
      <c r="B38" s="29">
        <v>562300</v>
      </c>
      <c r="C38" s="29">
        <v>75800</v>
      </c>
      <c r="D38" s="29">
        <v>29400</v>
      </c>
      <c r="E38" s="29">
        <f>B38+C38+D38</f>
        <v>667500</v>
      </c>
      <c r="F38" s="30" t="s">
        <v>14</v>
      </c>
      <c r="G38" s="125"/>
      <c r="I38" s="16"/>
      <c r="J38" s="10"/>
      <c r="K38" s="16"/>
    </row>
    <row r="39" spans="1:12">
      <c r="A39" s="23"/>
      <c r="B39" s="23"/>
      <c r="C39" s="23"/>
      <c r="D39" s="23"/>
      <c r="E39" s="23"/>
      <c r="F39" s="23"/>
      <c r="G39" s="23"/>
      <c r="I39" s="16"/>
      <c r="J39" s="12"/>
      <c r="K39" s="18"/>
    </row>
    <row r="40" spans="1:12">
      <c r="A40" s="26" t="s">
        <v>1</v>
      </c>
      <c r="B40" s="27" t="s">
        <v>56</v>
      </c>
      <c r="C40" s="23"/>
      <c r="D40" s="23"/>
      <c r="E40" s="23"/>
      <c r="F40" s="23"/>
      <c r="G40" s="23"/>
      <c r="J40" s="13"/>
      <c r="K40" s="3"/>
      <c r="L40" s="3"/>
    </row>
    <row r="41" spans="1:12">
      <c r="A41" s="26" t="s">
        <v>3</v>
      </c>
      <c r="B41" s="28" t="s">
        <v>8</v>
      </c>
      <c r="C41" s="28" t="s">
        <v>7</v>
      </c>
      <c r="D41" s="28" t="s">
        <v>6</v>
      </c>
      <c r="E41" s="28" t="s">
        <v>10</v>
      </c>
      <c r="F41" s="28" t="s">
        <v>13</v>
      </c>
      <c r="G41" s="28" t="s">
        <v>15</v>
      </c>
      <c r="I41" s="57" t="s">
        <v>63</v>
      </c>
      <c r="J41" s="15">
        <f>G37+G42</f>
        <v>13</v>
      </c>
      <c r="K41" s="3"/>
      <c r="L41" s="3"/>
    </row>
    <row r="42" spans="1:12">
      <c r="A42" s="26" t="s">
        <v>4</v>
      </c>
      <c r="B42" s="29">
        <v>615300</v>
      </c>
      <c r="C42" s="29">
        <v>75800</v>
      </c>
      <c r="D42" s="29">
        <v>45141</v>
      </c>
      <c r="E42" s="29">
        <f>B42+C42+D42</f>
        <v>736241</v>
      </c>
      <c r="F42" s="30" t="s">
        <v>14</v>
      </c>
      <c r="G42" s="125">
        <v>7</v>
      </c>
      <c r="I42" s="54" t="s">
        <v>61</v>
      </c>
      <c r="J42" s="55">
        <f>(G37*100/(G37+G42+G47+G52))^2+(G42*100/(G37+G42+G47+G52))^2+(G47*100/(G37+G42+G47+G52))^2+(G52*100/(G37+G42+G47+G52))^2</f>
        <v>5029.5857988165681</v>
      </c>
      <c r="K42" s="14"/>
      <c r="L42" s="3"/>
    </row>
    <row r="43" spans="1:12">
      <c r="A43" s="26" t="s">
        <v>5</v>
      </c>
      <c r="B43" s="29">
        <v>1255300</v>
      </c>
      <c r="C43" s="29">
        <v>75800</v>
      </c>
      <c r="D43" s="29">
        <v>44100</v>
      </c>
      <c r="E43" s="29">
        <f>B43+C43+D43</f>
        <v>1375200</v>
      </c>
      <c r="F43" s="30" t="s">
        <v>14</v>
      </c>
      <c r="G43" s="125"/>
      <c r="J43" s="10"/>
      <c r="K43" s="12"/>
      <c r="L43" s="3"/>
    </row>
    <row r="44" spans="1:12">
      <c r="A44" s="23"/>
      <c r="B44" s="23"/>
      <c r="C44" s="23"/>
      <c r="D44" s="23"/>
      <c r="E44" s="23"/>
      <c r="F44" s="23"/>
      <c r="G44" s="23"/>
      <c r="J44" s="12"/>
      <c r="K44" s="3"/>
    </row>
    <row r="45" spans="1:12">
      <c r="J45" s="13"/>
    </row>
    <row r="46" spans="1:12">
      <c r="A46" s="23"/>
      <c r="B46" s="31" t="s">
        <v>8</v>
      </c>
      <c r="C46" s="31" t="s">
        <v>7</v>
      </c>
      <c r="D46" s="31" t="s">
        <v>6</v>
      </c>
      <c r="E46" s="31" t="s">
        <v>10</v>
      </c>
      <c r="J46" s="32"/>
    </row>
    <row r="47" spans="1:12">
      <c r="A47" s="26" t="s">
        <v>19</v>
      </c>
      <c r="B47" s="29">
        <f>(((B37+B38)/2*$G$37+(B42+B43)/2*$G$42)/($G$37+$G$42))/$B$31</f>
        <v>1465.1557223264542</v>
      </c>
      <c r="C47" s="29">
        <f t="shared" ref="C47:D47" si="1">(((C37+C38)/2*$G$37+(C42+C43)/2*$G$42)/($G$37+$G$42))/$B$31</f>
        <v>147.90243902439025</v>
      </c>
      <c r="D47" s="29">
        <f t="shared" si="1"/>
        <v>80.445253283302051</v>
      </c>
      <c r="E47" s="29">
        <f>B47+C47+D47</f>
        <v>1693.5034146341466</v>
      </c>
    </row>
    <row r="51" spans="1:12">
      <c r="A51" s="23" t="s">
        <v>9</v>
      </c>
      <c r="B51" s="23" t="s">
        <v>58</v>
      </c>
      <c r="C51" s="23"/>
      <c r="D51" s="23"/>
      <c r="E51" s="23"/>
      <c r="F51" s="23"/>
      <c r="G51" s="23"/>
    </row>
    <row r="52" spans="1:12">
      <c r="A52" s="23" t="s">
        <v>18</v>
      </c>
      <c r="B52" s="23">
        <v>202.22</v>
      </c>
      <c r="C52" s="23"/>
      <c r="D52" s="23"/>
      <c r="E52" s="23"/>
      <c r="F52" s="23"/>
      <c r="G52" s="23"/>
    </row>
    <row r="53" spans="1:12">
      <c r="A53" s="23" t="s">
        <v>11</v>
      </c>
      <c r="B53" s="25">
        <v>43365</v>
      </c>
      <c r="C53" s="23"/>
      <c r="D53" s="23"/>
      <c r="E53" s="23"/>
      <c r="F53" s="23"/>
      <c r="G53" s="23"/>
    </row>
    <row r="54" spans="1:12">
      <c r="A54" s="23" t="s">
        <v>12</v>
      </c>
      <c r="B54" s="25">
        <v>43369</v>
      </c>
      <c r="C54" s="23"/>
      <c r="D54" s="23"/>
      <c r="E54" s="23"/>
      <c r="F54" s="23"/>
      <c r="G54" s="23"/>
    </row>
    <row r="55" spans="1:12">
      <c r="A55" s="23"/>
      <c r="B55" s="25"/>
      <c r="C55" s="23"/>
      <c r="D55" s="23"/>
      <c r="E55" s="23"/>
      <c r="F55" s="23"/>
      <c r="G55" s="23"/>
    </row>
    <row r="56" spans="1:12">
      <c r="A56" s="26" t="s">
        <v>1</v>
      </c>
      <c r="B56" s="27" t="s">
        <v>54</v>
      </c>
      <c r="C56" s="23"/>
      <c r="D56" s="23"/>
      <c r="E56" s="23"/>
      <c r="F56" s="23"/>
      <c r="G56" s="23"/>
    </row>
    <row r="57" spans="1:12" ht="15.75">
      <c r="A57" s="26" t="s">
        <v>3</v>
      </c>
      <c r="B57" s="28" t="s">
        <v>8</v>
      </c>
      <c r="C57" s="28" t="s">
        <v>7</v>
      </c>
      <c r="D57" s="28" t="s">
        <v>6</v>
      </c>
      <c r="E57" s="28" t="s">
        <v>10</v>
      </c>
      <c r="F57" s="28" t="s">
        <v>13</v>
      </c>
      <c r="G57" s="28" t="s">
        <v>15</v>
      </c>
      <c r="J57" s="35"/>
      <c r="K57" s="16"/>
    </row>
    <row r="58" spans="1:12">
      <c r="A58" s="26" t="s">
        <v>4</v>
      </c>
      <c r="B58" s="29">
        <v>35400</v>
      </c>
      <c r="C58" s="29">
        <v>68200</v>
      </c>
      <c r="D58" s="29">
        <v>45141</v>
      </c>
      <c r="E58" s="29">
        <f>B58+C58+D58</f>
        <v>148741</v>
      </c>
      <c r="F58" s="30" t="s">
        <v>14</v>
      </c>
      <c r="G58" s="125">
        <v>10</v>
      </c>
      <c r="J58" s="9"/>
      <c r="K58" s="16"/>
    </row>
    <row r="59" spans="1:12">
      <c r="A59" s="26" t="s">
        <v>5</v>
      </c>
      <c r="B59" s="29">
        <v>141500</v>
      </c>
      <c r="C59" s="29">
        <v>68200</v>
      </c>
      <c r="D59" s="29">
        <v>29400</v>
      </c>
      <c r="E59" s="29">
        <f>B59+C59+D59</f>
        <v>239100</v>
      </c>
      <c r="F59" s="30" t="s">
        <v>14</v>
      </c>
      <c r="G59" s="125"/>
      <c r="I59" s="16"/>
      <c r="J59" s="10"/>
      <c r="K59" s="16"/>
    </row>
    <row r="60" spans="1:12">
      <c r="A60" s="23"/>
      <c r="B60" s="23"/>
      <c r="C60" s="23"/>
      <c r="D60" s="23"/>
      <c r="E60" s="23"/>
      <c r="F60" s="23"/>
      <c r="G60" s="23"/>
      <c r="I60" s="16"/>
      <c r="J60" s="12"/>
      <c r="K60" s="18"/>
    </row>
    <row r="61" spans="1:12">
      <c r="A61" s="26"/>
      <c r="B61" s="27" t="s">
        <v>55</v>
      </c>
      <c r="C61" s="23"/>
      <c r="D61" s="23"/>
      <c r="E61" s="23"/>
      <c r="F61" s="23"/>
      <c r="G61" s="23"/>
      <c r="I61" s="16"/>
      <c r="J61" s="13"/>
      <c r="K61" s="18"/>
    </row>
    <row r="62" spans="1:12">
      <c r="A62" s="26" t="s">
        <v>3</v>
      </c>
      <c r="B62" s="28" t="s">
        <v>8</v>
      </c>
      <c r="C62" s="28" t="s">
        <v>7</v>
      </c>
      <c r="D62" s="28" t="s">
        <v>6</v>
      </c>
      <c r="E62" s="28" t="s">
        <v>10</v>
      </c>
      <c r="F62" s="28" t="s">
        <v>13</v>
      </c>
      <c r="G62" s="28" t="s">
        <v>15</v>
      </c>
      <c r="I62" s="57" t="s">
        <v>63</v>
      </c>
      <c r="J62" s="15">
        <f>G58+G63+G68</f>
        <v>34</v>
      </c>
      <c r="K62" s="15"/>
      <c r="L62" s="3"/>
    </row>
    <row r="63" spans="1:12">
      <c r="A63" s="26" t="s">
        <v>4</v>
      </c>
      <c r="B63" s="29">
        <v>233400</v>
      </c>
      <c r="C63" s="29">
        <v>68200</v>
      </c>
      <c r="D63" s="29">
        <v>29400</v>
      </c>
      <c r="E63" s="29">
        <f>B63+C63+D63</f>
        <v>331000</v>
      </c>
      <c r="F63" s="30" t="s">
        <v>14</v>
      </c>
      <c r="G63" s="125">
        <v>12</v>
      </c>
      <c r="I63" s="54" t="s">
        <v>61</v>
      </c>
      <c r="J63" s="55">
        <f>(G58*100/(G58+G63+G68+G73))^2+(G63*100/(G58+G63+G68+G73))^2+(G68*100/(G58+G63+G68+G73))^2+(G73*100/(G58+G63+G68+G73))^2</f>
        <v>3356.4013840830457</v>
      </c>
      <c r="K63" s="17"/>
      <c r="L63" s="14"/>
    </row>
    <row r="64" spans="1:12">
      <c r="A64" s="26" t="s">
        <v>5</v>
      </c>
      <c r="B64" s="29">
        <v>367800</v>
      </c>
      <c r="C64" s="29">
        <v>68200</v>
      </c>
      <c r="D64" s="29">
        <v>29400</v>
      </c>
      <c r="E64" s="29">
        <f>B64+C64+D64</f>
        <v>465400</v>
      </c>
      <c r="F64" s="30" t="s">
        <v>14</v>
      </c>
      <c r="G64" s="125"/>
      <c r="I64" s="17"/>
      <c r="J64" s="12"/>
      <c r="K64" s="17"/>
      <c r="L64" s="12"/>
    </row>
    <row r="65" spans="1:12">
      <c r="A65" s="23"/>
      <c r="B65" s="23"/>
      <c r="C65" s="23"/>
      <c r="D65" s="23"/>
      <c r="E65" s="23"/>
      <c r="F65" s="23"/>
      <c r="G65" s="23"/>
      <c r="I65" s="24"/>
      <c r="J65" s="12"/>
      <c r="K65" s="24"/>
      <c r="L65" s="3"/>
    </row>
    <row r="66" spans="1:12">
      <c r="A66" s="26" t="s">
        <v>1</v>
      </c>
      <c r="B66" s="27" t="s">
        <v>56</v>
      </c>
      <c r="C66" s="23"/>
      <c r="D66" s="23"/>
      <c r="E66" s="23"/>
      <c r="F66" s="23"/>
      <c r="G66" s="23"/>
      <c r="J66" s="13"/>
      <c r="K66" s="3"/>
      <c r="L66" s="3"/>
    </row>
    <row r="67" spans="1:12">
      <c r="A67" s="26" t="s">
        <v>3</v>
      </c>
      <c r="B67" s="28" t="s">
        <v>8</v>
      </c>
      <c r="C67" s="28" t="s">
        <v>7</v>
      </c>
      <c r="D67" s="28" t="s">
        <v>6</v>
      </c>
      <c r="E67" s="28" t="s">
        <v>10</v>
      </c>
      <c r="F67" s="28" t="s">
        <v>13</v>
      </c>
      <c r="G67" s="28" t="s">
        <v>15</v>
      </c>
      <c r="J67" s="14"/>
      <c r="K67" s="3"/>
      <c r="L67" s="3"/>
    </row>
    <row r="68" spans="1:12">
      <c r="A68" s="26" t="s">
        <v>4</v>
      </c>
      <c r="B68" s="29">
        <v>233400</v>
      </c>
      <c r="C68" s="29">
        <v>68200</v>
      </c>
      <c r="D68" s="29">
        <v>29400</v>
      </c>
      <c r="E68" s="29">
        <f>B68+C68+D68</f>
        <v>331000</v>
      </c>
      <c r="F68" s="30" t="s">
        <v>14</v>
      </c>
      <c r="G68" s="125">
        <v>12</v>
      </c>
      <c r="J68" s="12"/>
      <c r="K68" s="14"/>
      <c r="L68" s="3"/>
    </row>
    <row r="69" spans="1:12">
      <c r="A69" s="26" t="s">
        <v>5</v>
      </c>
      <c r="B69" s="29">
        <v>367800</v>
      </c>
      <c r="C69" s="29">
        <v>68200</v>
      </c>
      <c r="D69" s="29">
        <v>29400</v>
      </c>
      <c r="E69" s="29">
        <f>B69+C69+D69</f>
        <v>465400</v>
      </c>
      <c r="F69" s="30" t="s">
        <v>14</v>
      </c>
      <c r="G69" s="125"/>
      <c r="J69" s="12"/>
      <c r="K69" s="12"/>
      <c r="L69" s="3"/>
    </row>
    <row r="70" spans="1:12">
      <c r="A70" s="23"/>
      <c r="B70" s="23"/>
      <c r="C70" s="23"/>
      <c r="D70" s="23"/>
      <c r="E70" s="23"/>
      <c r="F70" s="23"/>
      <c r="G70" s="23"/>
      <c r="J70" s="13"/>
      <c r="K70" s="3"/>
    </row>
    <row r="72" spans="1:12">
      <c r="A72" s="23"/>
      <c r="B72" s="31" t="s">
        <v>8</v>
      </c>
      <c r="C72" s="31" t="s">
        <v>7</v>
      </c>
      <c r="D72" s="31" t="s">
        <v>6</v>
      </c>
      <c r="E72" s="31" t="s">
        <v>10</v>
      </c>
    </row>
    <row r="73" spans="1:12">
      <c r="A73" s="26" t="s">
        <v>19</v>
      </c>
      <c r="B73" s="29">
        <f>(((B58+B59)/2*$G$58+(B63+B64)/2*$G$63+(B68+B69)/2*$G$68)/($G$58+$G$63+$G$68))/$B$52</f>
        <v>1177.9395765822896</v>
      </c>
      <c r="C73" s="29">
        <f t="shared" ref="C73:D73" si="2">(((C58+C59)/2*$G$58+(C63+C64)/2*$G$63+(C68+C69)/2*$G$68)/($G$58+$G$63+$G$68))/$B$52</f>
        <v>337.25645336761943</v>
      </c>
      <c r="D73" s="29">
        <f t="shared" si="2"/>
        <v>156.83341381256292</v>
      </c>
      <c r="E73" s="29">
        <f>B73+C73+D73</f>
        <v>1672.0294437624721</v>
      </c>
    </row>
    <row r="77" spans="1:12">
      <c r="A77" s="23" t="s">
        <v>9</v>
      </c>
      <c r="B77" s="23" t="s">
        <v>59</v>
      </c>
      <c r="C77" s="23"/>
      <c r="D77" s="23"/>
      <c r="E77" s="23"/>
      <c r="F77" s="23"/>
      <c r="G77" s="23"/>
    </row>
    <row r="78" spans="1:12">
      <c r="A78" s="23" t="s">
        <v>18</v>
      </c>
      <c r="B78" s="23">
        <v>767.18</v>
      </c>
      <c r="C78" s="23"/>
      <c r="D78" s="23"/>
      <c r="E78" s="23"/>
      <c r="F78" s="23"/>
      <c r="G78" s="23"/>
    </row>
    <row r="79" spans="1:12">
      <c r="A79" s="23" t="s">
        <v>11</v>
      </c>
      <c r="B79" s="25">
        <v>43365</v>
      </c>
      <c r="C79" s="23"/>
      <c r="D79" s="23"/>
      <c r="E79" s="23"/>
      <c r="F79" s="23"/>
      <c r="G79" s="23"/>
    </row>
    <row r="80" spans="1:12">
      <c r="A80" s="23" t="s">
        <v>12</v>
      </c>
      <c r="B80" s="25">
        <v>43369</v>
      </c>
      <c r="C80" s="23"/>
      <c r="D80" s="23"/>
      <c r="E80" s="23"/>
      <c r="F80" s="23"/>
      <c r="G80" s="23"/>
    </row>
    <row r="81" spans="1:12">
      <c r="A81" s="23"/>
      <c r="B81" s="25"/>
      <c r="C81" s="23"/>
      <c r="D81" s="23"/>
      <c r="E81" s="23"/>
      <c r="F81" s="23"/>
      <c r="G81" s="23"/>
    </row>
    <row r="82" spans="1:12">
      <c r="A82" s="26" t="s">
        <v>1</v>
      </c>
      <c r="B82" s="27" t="s">
        <v>56</v>
      </c>
      <c r="C82" s="23"/>
      <c r="D82" s="23"/>
      <c r="E82" s="23"/>
      <c r="F82" s="23"/>
      <c r="G82" s="23"/>
    </row>
    <row r="83" spans="1:12" ht="15.75">
      <c r="A83" s="26" t="s">
        <v>3</v>
      </c>
      <c r="B83" s="28" t="s">
        <v>8</v>
      </c>
      <c r="C83" s="28" t="s">
        <v>7</v>
      </c>
      <c r="D83" s="28" t="s">
        <v>6</v>
      </c>
      <c r="E83" s="28" t="s">
        <v>10</v>
      </c>
      <c r="F83" s="28" t="s">
        <v>13</v>
      </c>
      <c r="G83" s="28" t="s">
        <v>15</v>
      </c>
      <c r="J83" s="35"/>
      <c r="K83" s="16"/>
    </row>
    <row r="84" spans="1:12">
      <c r="A84" s="26" t="s">
        <v>4</v>
      </c>
      <c r="B84" s="29">
        <v>389000</v>
      </c>
      <c r="C84" s="29">
        <v>71800</v>
      </c>
      <c r="D84" s="29">
        <v>29400</v>
      </c>
      <c r="E84" s="29">
        <f>B84+C84+D84</f>
        <v>490200</v>
      </c>
      <c r="F84" s="30" t="s">
        <v>14</v>
      </c>
      <c r="G84" s="125">
        <v>6</v>
      </c>
      <c r="J84" s="14"/>
      <c r="K84" s="16"/>
    </row>
    <row r="85" spans="1:12">
      <c r="A85" s="26" t="s">
        <v>5</v>
      </c>
      <c r="B85" s="29">
        <v>1043100</v>
      </c>
      <c r="C85" s="29">
        <v>71800</v>
      </c>
      <c r="D85" s="29">
        <v>29400</v>
      </c>
      <c r="E85" s="29">
        <f>B85+C85+D85</f>
        <v>1144300</v>
      </c>
      <c r="F85" s="30" t="s">
        <v>14</v>
      </c>
      <c r="G85" s="125"/>
      <c r="I85" s="16"/>
      <c r="J85" s="12"/>
      <c r="K85" s="16"/>
    </row>
    <row r="86" spans="1:12">
      <c r="A86" s="23"/>
      <c r="B86" s="23"/>
      <c r="C86" s="23"/>
      <c r="D86" s="23"/>
      <c r="E86" s="23"/>
      <c r="F86" s="23"/>
      <c r="G86" s="23"/>
      <c r="I86" s="16"/>
      <c r="J86" s="12"/>
      <c r="K86" s="18"/>
    </row>
    <row r="87" spans="1:12">
      <c r="A87" s="26" t="s">
        <v>1</v>
      </c>
      <c r="B87" s="27" t="s">
        <v>55</v>
      </c>
      <c r="C87" s="23"/>
      <c r="D87" s="23"/>
      <c r="E87" s="23"/>
      <c r="F87" s="23"/>
      <c r="G87" s="23"/>
      <c r="J87" s="13"/>
      <c r="K87" s="3"/>
      <c r="L87" s="3"/>
    </row>
    <row r="88" spans="1:12">
      <c r="A88" s="26" t="s">
        <v>3</v>
      </c>
      <c r="B88" s="28" t="s">
        <v>8</v>
      </c>
      <c r="C88" s="28" t="s">
        <v>7</v>
      </c>
      <c r="D88" s="28" t="s">
        <v>6</v>
      </c>
      <c r="E88" s="28" t="s">
        <v>10</v>
      </c>
      <c r="F88" s="28" t="s">
        <v>13</v>
      </c>
      <c r="G88" s="28" t="s">
        <v>15</v>
      </c>
      <c r="I88" s="57" t="s">
        <v>63</v>
      </c>
      <c r="J88" s="15">
        <f>G84+G89</f>
        <v>12</v>
      </c>
      <c r="K88" s="3"/>
      <c r="L88" s="3"/>
    </row>
    <row r="89" spans="1:12">
      <c r="A89" s="26" t="s">
        <v>4</v>
      </c>
      <c r="B89" s="29">
        <v>389000</v>
      </c>
      <c r="C89" s="29">
        <v>71800</v>
      </c>
      <c r="D89" s="29">
        <v>29400</v>
      </c>
      <c r="E89" s="29">
        <f>B89+C89+D89</f>
        <v>490200</v>
      </c>
      <c r="F89" s="30" t="s">
        <v>14</v>
      </c>
      <c r="G89" s="125">
        <v>6</v>
      </c>
      <c r="I89" s="54" t="s">
        <v>61</v>
      </c>
      <c r="J89" s="55">
        <f>(G84*100/(G84+G89+G94+G99))^2+(G89*100/(G84+G89+G94+G99))^2+(G94*100/(G84+G89+G94+G99))^2+(G99*100/(G84+G89+G94+G99))^2</f>
        <v>5000</v>
      </c>
      <c r="K89" s="14"/>
      <c r="L89" s="3"/>
    </row>
    <row r="90" spans="1:12">
      <c r="A90" s="26" t="s">
        <v>5</v>
      </c>
      <c r="B90" s="29">
        <v>1043100</v>
      </c>
      <c r="C90" s="29">
        <v>71800</v>
      </c>
      <c r="D90" s="29">
        <v>29400</v>
      </c>
      <c r="E90" s="29">
        <f>B90+C90+D90</f>
        <v>1144300</v>
      </c>
      <c r="F90" s="30" t="s">
        <v>14</v>
      </c>
      <c r="G90" s="125"/>
      <c r="J90" s="12"/>
      <c r="K90" s="12"/>
      <c r="L90" s="3"/>
    </row>
    <row r="91" spans="1:12">
      <c r="A91" s="23"/>
      <c r="B91" s="23"/>
      <c r="C91" s="23"/>
      <c r="D91" s="23"/>
      <c r="E91" s="23"/>
      <c r="F91" s="23"/>
      <c r="G91" s="23"/>
      <c r="J91" s="12"/>
      <c r="K91" s="3"/>
    </row>
    <row r="92" spans="1:12">
      <c r="J92" s="11"/>
    </row>
    <row r="93" spans="1:12">
      <c r="A93" s="23"/>
      <c r="B93" s="31" t="s">
        <v>8</v>
      </c>
      <c r="C93" s="31" t="s">
        <v>7</v>
      </c>
      <c r="D93" s="31" t="s">
        <v>6</v>
      </c>
      <c r="E93" s="31" t="s">
        <v>10</v>
      </c>
      <c r="J93" s="32"/>
    </row>
    <row r="94" spans="1:12">
      <c r="A94" s="26" t="s">
        <v>19</v>
      </c>
      <c r="B94" s="29">
        <f>(((B84+B85)/2*$G$37+(B89+B90)/2*$G$42)/($G$37+$G$42))/$B$31</f>
        <v>1397.1707317073171</v>
      </c>
      <c r="C94" s="29">
        <f t="shared" ref="C94:D94" si="3">(((C84+C85)/2*$G$37+(C89+C90)/2*$G$42)/($G$37+$G$42))/$B$31</f>
        <v>140.09756097560975</v>
      </c>
      <c r="D94" s="29">
        <f t="shared" si="3"/>
        <v>57.365853658536587</v>
      </c>
      <c r="E94" s="29">
        <f>B94+C94+D94</f>
        <v>1594.6341463414633</v>
      </c>
    </row>
    <row r="98" spans="1:12">
      <c r="A98" s="23" t="s">
        <v>9</v>
      </c>
      <c r="B98" s="23" t="s">
        <v>60</v>
      </c>
      <c r="C98" s="23"/>
      <c r="D98" s="23"/>
      <c r="E98" s="23"/>
      <c r="F98" s="23"/>
      <c r="G98" s="23"/>
    </row>
    <row r="99" spans="1:12">
      <c r="A99" s="23" t="s">
        <v>18</v>
      </c>
      <c r="B99" s="23">
        <v>456.82</v>
      </c>
      <c r="C99" s="23"/>
      <c r="D99" s="23"/>
      <c r="E99" s="23"/>
      <c r="F99" s="23"/>
      <c r="G99" s="23"/>
    </row>
    <row r="100" spans="1:12">
      <c r="A100" s="23" t="s">
        <v>11</v>
      </c>
      <c r="B100" s="25">
        <v>43365</v>
      </c>
      <c r="C100" s="23"/>
      <c r="D100" s="23"/>
      <c r="E100" s="23"/>
      <c r="F100" s="23"/>
      <c r="G100" s="23"/>
    </row>
    <row r="101" spans="1:12">
      <c r="A101" s="23" t="s">
        <v>12</v>
      </c>
      <c r="B101" s="25">
        <v>43369</v>
      </c>
      <c r="C101" s="23"/>
      <c r="D101" s="23"/>
      <c r="E101" s="23"/>
      <c r="F101" s="23"/>
      <c r="G101" s="23"/>
    </row>
    <row r="102" spans="1:12">
      <c r="A102" s="23"/>
      <c r="B102" s="25"/>
      <c r="C102" s="23"/>
      <c r="D102" s="23"/>
      <c r="E102" s="23"/>
      <c r="F102" s="23"/>
      <c r="G102" s="23"/>
    </row>
    <row r="103" spans="1:12">
      <c r="A103" s="26" t="s">
        <v>1</v>
      </c>
      <c r="B103" s="27" t="s">
        <v>56</v>
      </c>
      <c r="C103" s="23"/>
      <c r="D103" s="23"/>
      <c r="E103" s="23"/>
      <c r="F103" s="23"/>
      <c r="G103" s="23"/>
    </row>
    <row r="104" spans="1:12" ht="15.75">
      <c r="A104" s="26" t="s">
        <v>3</v>
      </c>
      <c r="B104" s="28" t="s">
        <v>8</v>
      </c>
      <c r="C104" s="28" t="s">
        <v>7</v>
      </c>
      <c r="D104" s="28" t="s">
        <v>6</v>
      </c>
      <c r="E104" s="28" t="s">
        <v>10</v>
      </c>
      <c r="F104" s="28" t="s">
        <v>13</v>
      </c>
      <c r="G104" s="28" t="s">
        <v>15</v>
      </c>
      <c r="J104" s="35"/>
      <c r="K104" s="16"/>
    </row>
    <row r="105" spans="1:12">
      <c r="A105" s="26" t="s">
        <v>4</v>
      </c>
      <c r="B105" s="29">
        <v>70800</v>
      </c>
      <c r="C105" s="29">
        <v>72000</v>
      </c>
      <c r="D105" s="29">
        <v>45141</v>
      </c>
      <c r="E105" s="29">
        <f>B105+C105+D105</f>
        <v>187941</v>
      </c>
      <c r="F105" s="30" t="s">
        <v>14</v>
      </c>
      <c r="G105" s="125">
        <v>7</v>
      </c>
      <c r="J105" s="9"/>
      <c r="K105" s="16"/>
    </row>
    <row r="106" spans="1:12">
      <c r="A106" s="26" t="s">
        <v>5</v>
      </c>
      <c r="B106" s="29">
        <v>770900</v>
      </c>
      <c r="C106" s="29">
        <v>72000</v>
      </c>
      <c r="D106" s="29">
        <v>29400</v>
      </c>
      <c r="E106" s="29">
        <f>B106+C106+D106</f>
        <v>872300</v>
      </c>
      <c r="F106" s="30" t="s">
        <v>14</v>
      </c>
      <c r="G106" s="125"/>
      <c r="I106" s="16"/>
      <c r="J106" s="12"/>
      <c r="K106" s="16"/>
      <c r="L106" s="3"/>
    </row>
    <row r="107" spans="1:12">
      <c r="A107" s="23"/>
      <c r="B107" s="23"/>
      <c r="C107" s="23"/>
      <c r="D107" s="23"/>
      <c r="E107" s="23"/>
      <c r="F107" s="23"/>
      <c r="G107" s="23"/>
      <c r="I107" s="16"/>
      <c r="J107" s="12"/>
      <c r="K107" s="18"/>
      <c r="L107" s="3"/>
    </row>
    <row r="108" spans="1:12">
      <c r="A108" s="26"/>
      <c r="B108" s="27" t="s">
        <v>54</v>
      </c>
      <c r="C108" s="23"/>
      <c r="D108" s="23"/>
      <c r="E108" s="23"/>
      <c r="F108" s="23"/>
      <c r="G108" s="23"/>
      <c r="I108" s="16"/>
      <c r="J108" s="13"/>
      <c r="K108" s="18"/>
      <c r="L108" s="3"/>
    </row>
    <row r="109" spans="1:12">
      <c r="A109" s="26" t="s">
        <v>3</v>
      </c>
      <c r="B109" s="28" t="s">
        <v>8</v>
      </c>
      <c r="C109" s="28" t="s">
        <v>7</v>
      </c>
      <c r="D109" s="28" t="s">
        <v>6</v>
      </c>
      <c r="E109" s="28" t="s">
        <v>10</v>
      </c>
      <c r="F109" s="28" t="s">
        <v>13</v>
      </c>
      <c r="G109" s="28" t="s">
        <v>15</v>
      </c>
      <c r="I109" s="57" t="s">
        <v>63</v>
      </c>
      <c r="J109" s="15">
        <f>G105+G110+G115</f>
        <v>14</v>
      </c>
      <c r="K109" s="15"/>
      <c r="L109" s="3"/>
    </row>
    <row r="110" spans="1:12">
      <c r="A110" s="26" t="s">
        <v>4</v>
      </c>
      <c r="B110" s="29">
        <v>120300</v>
      </c>
      <c r="C110" s="29">
        <v>72000</v>
      </c>
      <c r="D110" s="29">
        <v>45141</v>
      </c>
      <c r="E110" s="29">
        <f>B110+C110+D110</f>
        <v>237441</v>
      </c>
      <c r="F110" s="30" t="s">
        <v>14</v>
      </c>
      <c r="G110" s="125">
        <v>4</v>
      </c>
      <c r="I110" s="54" t="s">
        <v>61</v>
      </c>
      <c r="J110" s="55">
        <f>(G105*100/(G105+G110+G115+G120))^2+(G110*100/(G105+G110+G115+G120))^2+(G115*100/(G105+G110+G115+G120))^2+(G120*100/(G105+G110+G115+G120))^2</f>
        <v>3775.5102040816328</v>
      </c>
      <c r="K110" s="17"/>
      <c r="L110" s="14"/>
    </row>
    <row r="111" spans="1:12">
      <c r="A111" s="26" t="s">
        <v>5</v>
      </c>
      <c r="B111" s="29">
        <v>275800</v>
      </c>
      <c r="C111" s="29">
        <v>72000</v>
      </c>
      <c r="D111" s="29">
        <v>29400</v>
      </c>
      <c r="E111" s="29">
        <f>B111+C111+D111</f>
        <v>377200</v>
      </c>
      <c r="F111" s="30" t="s">
        <v>14</v>
      </c>
      <c r="G111" s="125"/>
      <c r="I111" s="17"/>
      <c r="J111" s="12"/>
      <c r="K111" s="17"/>
      <c r="L111" s="12"/>
    </row>
    <row r="112" spans="1:12">
      <c r="A112" s="23"/>
      <c r="B112" s="23"/>
      <c r="C112" s="23"/>
      <c r="D112" s="23"/>
      <c r="E112" s="23"/>
      <c r="F112" s="23"/>
      <c r="G112" s="23"/>
      <c r="I112" s="24"/>
      <c r="J112" s="13"/>
      <c r="K112" s="24"/>
      <c r="L112" s="3"/>
    </row>
    <row r="113" spans="1:12">
      <c r="A113" s="26" t="s">
        <v>1</v>
      </c>
      <c r="B113" s="8" t="s">
        <v>55</v>
      </c>
      <c r="C113" s="23"/>
      <c r="D113" s="23"/>
      <c r="E113" s="23"/>
      <c r="F113" s="23"/>
      <c r="G113" s="23"/>
      <c r="J113" s="13"/>
      <c r="K113" s="3"/>
      <c r="L113" s="3"/>
    </row>
    <row r="114" spans="1:12">
      <c r="A114" s="26" t="s">
        <v>3</v>
      </c>
      <c r="B114" s="28" t="s">
        <v>8</v>
      </c>
      <c r="C114" s="28" t="s">
        <v>7</v>
      </c>
      <c r="D114" s="28" t="s">
        <v>6</v>
      </c>
      <c r="E114" s="28" t="s">
        <v>10</v>
      </c>
      <c r="F114" s="28" t="s">
        <v>13</v>
      </c>
      <c r="G114" s="28" t="s">
        <v>15</v>
      </c>
      <c r="J114" s="14"/>
      <c r="K114" s="3"/>
      <c r="L114" s="3"/>
    </row>
    <row r="115" spans="1:12">
      <c r="A115" s="26" t="s">
        <v>4</v>
      </c>
      <c r="B115" s="29">
        <v>261700</v>
      </c>
      <c r="C115" s="29">
        <v>72000</v>
      </c>
      <c r="D115" s="29">
        <v>29400</v>
      </c>
      <c r="E115" s="29">
        <f>B115+C115+D115</f>
        <v>363100</v>
      </c>
      <c r="F115" s="30" t="s">
        <v>14</v>
      </c>
      <c r="G115" s="125">
        <v>3</v>
      </c>
      <c r="J115" s="12"/>
      <c r="K115" s="14"/>
      <c r="L115" s="3"/>
    </row>
    <row r="116" spans="1:12">
      <c r="A116" s="26" t="s">
        <v>5</v>
      </c>
      <c r="B116" s="29">
        <v>297100</v>
      </c>
      <c r="C116" s="29">
        <v>72000</v>
      </c>
      <c r="D116" s="29">
        <v>29400</v>
      </c>
      <c r="E116" s="29">
        <f>B116+C116+D116</f>
        <v>398500</v>
      </c>
      <c r="F116" s="30" t="s">
        <v>14</v>
      </c>
      <c r="G116" s="125"/>
      <c r="J116" s="12"/>
      <c r="K116" s="12"/>
      <c r="L116" s="3"/>
    </row>
    <row r="117" spans="1:12">
      <c r="A117" s="23"/>
      <c r="B117" s="23"/>
      <c r="C117" s="23"/>
      <c r="D117" s="23"/>
      <c r="E117" s="23"/>
      <c r="F117" s="23"/>
      <c r="G117" s="23"/>
      <c r="J117" s="13"/>
      <c r="K117" s="3"/>
      <c r="L117" s="3"/>
    </row>
    <row r="119" spans="1:12">
      <c r="A119" s="23"/>
      <c r="B119" s="31" t="s">
        <v>8</v>
      </c>
      <c r="C119" s="31" t="s">
        <v>7</v>
      </c>
      <c r="D119" s="31" t="s">
        <v>6</v>
      </c>
      <c r="E119" s="31" t="s">
        <v>10</v>
      </c>
    </row>
    <row r="120" spans="1:12">
      <c r="A120" s="26" t="s">
        <v>19</v>
      </c>
      <c r="B120" s="29">
        <f>(((B105+B106)/2*$G$105+(B110+B111)/2*$G$110+(B115+B116)/2*$G$115)/($G$105+$G$110+$G$115))/$B$99</f>
        <v>715.56005178657426</v>
      </c>
      <c r="C120" s="29">
        <f t="shared" ref="C120:D120" si="4">(((C105+C106)/2*$G$105+(C110+C111)/2*$G$110+(C115+C116)/2*$G$115)/($G$105+$G$110+$G$115))/$B$99</f>
        <v>157.61131298979905</v>
      </c>
      <c r="D120" s="29">
        <f t="shared" si="4"/>
        <v>77.894935172965901</v>
      </c>
      <c r="E120" s="29">
        <f>B120+C120+D120</f>
        <v>951.06629994933928</v>
      </c>
    </row>
    <row r="123" spans="1:12" s="42" customFormat="1" ht="30">
      <c r="A123" s="45" t="s">
        <v>82</v>
      </c>
      <c r="B123" s="67" t="s">
        <v>78</v>
      </c>
      <c r="C123" s="67" t="s">
        <v>80</v>
      </c>
      <c r="D123" s="44" t="s">
        <v>81</v>
      </c>
      <c r="E123" s="67" t="s">
        <v>79</v>
      </c>
    </row>
    <row r="124" spans="1:12">
      <c r="A124" s="56">
        <f>(J16*J15+J42*J41+J63*J62+J89*J88+J110*J109)/(J15+J41+J62+J88+J109)</f>
        <v>4669.4527542680753</v>
      </c>
      <c r="B124" s="62">
        <f>(B26*$J$15+B47*$J$41+B73*$J$62+B94*$J$88+B120*$J$109)/($J$15+$J$41+$J$62+$J$88+$J$109)</f>
        <v>1062.6612269138636</v>
      </c>
      <c r="C124" s="62">
        <f t="shared" ref="C124:E124" si="5">(C26*$J$15+C47*$J$41+C73*$J$62+C94*$J$88+C120*$J$109)/($J$15+$J$41+$J$62+$J$88+$J$109)</f>
        <v>201.9391245266915</v>
      </c>
      <c r="D124" s="62">
        <f t="shared" si="5"/>
        <v>90.367050996554184</v>
      </c>
      <c r="E124" s="62">
        <f t="shared" si="5"/>
        <v>1354.9674024371093</v>
      </c>
    </row>
    <row r="126" spans="1:12">
      <c r="A126" s="44" t="s">
        <v>83</v>
      </c>
      <c r="B126" s="68">
        <f>C124/E124</f>
        <v>0.14903614962505674</v>
      </c>
    </row>
  </sheetData>
  <mergeCells count="13">
    <mergeCell ref="G115:G116"/>
    <mergeCell ref="G84:G85"/>
    <mergeCell ref="G89:G90"/>
    <mergeCell ref="G37:G38"/>
    <mergeCell ref="G42:G43"/>
    <mergeCell ref="G58:G59"/>
    <mergeCell ref="G63:G64"/>
    <mergeCell ref="G68:G69"/>
    <mergeCell ref="G11:G12"/>
    <mergeCell ref="G16:G17"/>
    <mergeCell ref="G21:G22"/>
    <mergeCell ref="G105:G106"/>
    <mergeCell ref="G110:G1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L127"/>
  <sheetViews>
    <sheetView topLeftCell="A109" workbookViewId="0">
      <selection activeCell="B125" sqref="B125"/>
    </sheetView>
  </sheetViews>
  <sheetFormatPr baseColWidth="10" defaultColWidth="10.7109375" defaultRowHeight="15"/>
  <cols>
    <col min="1" max="1" width="19.42578125" bestFit="1" customWidth="1"/>
    <col min="2" max="3" width="12.140625" bestFit="1" customWidth="1"/>
    <col min="4" max="4" width="10.85546875" bestFit="1" customWidth="1"/>
    <col min="5" max="5" width="11" bestFit="1" customWidth="1"/>
    <col min="7" max="7" width="16.140625" bestFit="1" customWidth="1"/>
  </cols>
  <sheetData>
    <row r="4" spans="1:12">
      <c r="A4" t="s">
        <v>9</v>
      </c>
      <c r="B4" s="23" t="s">
        <v>53</v>
      </c>
      <c r="C4" s="23"/>
      <c r="D4" s="23"/>
      <c r="E4" s="23"/>
      <c r="F4" s="23"/>
      <c r="G4" s="23"/>
    </row>
    <row r="5" spans="1:12">
      <c r="A5" t="s">
        <v>18</v>
      </c>
      <c r="B5" s="23">
        <v>483.85</v>
      </c>
      <c r="C5" s="23"/>
      <c r="D5" s="23"/>
      <c r="E5" s="23"/>
      <c r="F5" s="23"/>
      <c r="G5" s="23"/>
    </row>
    <row r="6" spans="1:12">
      <c r="A6" t="s">
        <v>11</v>
      </c>
      <c r="B6" s="25">
        <v>43413</v>
      </c>
      <c r="C6" s="23"/>
      <c r="D6" s="23"/>
      <c r="E6" s="23"/>
      <c r="F6" s="23"/>
      <c r="G6" s="23"/>
    </row>
    <row r="7" spans="1:12">
      <c r="A7" t="s">
        <v>12</v>
      </c>
      <c r="B7" s="25">
        <v>43432</v>
      </c>
      <c r="C7" s="23"/>
      <c r="D7" s="23"/>
      <c r="E7" s="23"/>
      <c r="F7" s="23"/>
      <c r="G7" s="23"/>
    </row>
    <row r="8" spans="1:12">
      <c r="B8" s="23"/>
      <c r="C8" s="23"/>
      <c r="D8" s="23"/>
      <c r="E8" s="23"/>
      <c r="F8" s="23"/>
      <c r="G8" s="23"/>
    </row>
    <row r="9" spans="1:12">
      <c r="A9" s="4" t="s">
        <v>1</v>
      </c>
      <c r="B9" s="76" t="s">
        <v>150</v>
      </c>
      <c r="C9" s="23"/>
      <c r="D9" s="23"/>
      <c r="E9" s="23"/>
      <c r="F9" s="23"/>
      <c r="G9" s="23"/>
    </row>
    <row r="10" spans="1:12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2">
      <c r="A11" s="4" t="s">
        <v>4</v>
      </c>
      <c r="B11" s="29">
        <v>68400</v>
      </c>
      <c r="C11" s="29">
        <v>77100</v>
      </c>
      <c r="D11" s="29">
        <v>45141</v>
      </c>
      <c r="E11" s="29">
        <f>B11+C11+D11</f>
        <v>190641</v>
      </c>
      <c r="F11" s="30" t="s">
        <v>14</v>
      </c>
      <c r="G11" s="125">
        <v>6</v>
      </c>
      <c r="K11" s="9"/>
    </row>
    <row r="12" spans="1:12">
      <c r="A12" s="4" t="s">
        <v>5</v>
      </c>
      <c r="B12" s="29">
        <v>201500</v>
      </c>
      <c r="C12" s="29">
        <v>77100</v>
      </c>
      <c r="D12" s="29">
        <v>15485</v>
      </c>
      <c r="E12" s="29">
        <f>B12+C12+D12</f>
        <v>294085</v>
      </c>
      <c r="F12" s="30" t="s">
        <v>14</v>
      </c>
      <c r="G12" s="125"/>
      <c r="K12" s="10"/>
    </row>
    <row r="13" spans="1:12">
      <c r="B13" s="23"/>
      <c r="C13" s="99"/>
      <c r="D13" s="99"/>
      <c r="E13" s="23"/>
      <c r="F13" s="23"/>
      <c r="G13" s="23"/>
      <c r="I13" s="3"/>
      <c r="J13" s="3"/>
      <c r="K13" s="12"/>
    </row>
    <row r="14" spans="1:12">
      <c r="A14" s="4" t="s">
        <v>1</v>
      </c>
      <c r="B14" s="76" t="s">
        <v>151</v>
      </c>
      <c r="C14" s="23"/>
      <c r="D14" s="23"/>
      <c r="E14" s="23"/>
      <c r="F14" s="23"/>
      <c r="G14" s="23"/>
      <c r="I14" s="3"/>
      <c r="J14" s="3"/>
      <c r="K14" s="2"/>
    </row>
    <row r="15" spans="1:12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62</v>
      </c>
      <c r="K15" s="3"/>
    </row>
    <row r="16" spans="1:12">
      <c r="A16" s="4" t="s">
        <v>4</v>
      </c>
      <c r="B16" s="29">
        <v>118800</v>
      </c>
      <c r="C16" s="29">
        <v>77100</v>
      </c>
      <c r="D16" s="29">
        <v>45141</v>
      </c>
      <c r="E16" s="29">
        <f>B16+C16+D16</f>
        <v>241041</v>
      </c>
      <c r="F16" s="30" t="s">
        <v>14</v>
      </c>
      <c r="G16" s="125">
        <v>46</v>
      </c>
      <c r="I16" s="54" t="s">
        <v>61</v>
      </c>
      <c r="J16" s="55">
        <f>(G11*100/(G11+G16+G21))^2+(G16*100/(G11+G16+G21))^2+(G21*100/(G11+G16+G21))^2</f>
        <v>5858.4807492195614</v>
      </c>
      <c r="K16" s="3"/>
      <c r="L16" s="9"/>
    </row>
    <row r="17" spans="1:12">
      <c r="A17" s="4" t="s">
        <v>5</v>
      </c>
      <c r="B17" s="29">
        <v>809600</v>
      </c>
      <c r="C17" s="29">
        <v>77100</v>
      </c>
      <c r="D17" s="29">
        <v>38147</v>
      </c>
      <c r="E17" s="29">
        <f>B17+C17+D17</f>
        <v>924847</v>
      </c>
      <c r="F17" s="30" t="s">
        <v>14</v>
      </c>
      <c r="G17" s="125"/>
      <c r="L17" s="10"/>
    </row>
    <row r="18" spans="1:12">
      <c r="B18" s="23"/>
      <c r="C18" s="23"/>
      <c r="D18" s="23"/>
      <c r="E18" s="23"/>
      <c r="F18" s="23"/>
      <c r="G18" s="23"/>
      <c r="K18" s="3"/>
      <c r="L18" s="3"/>
    </row>
    <row r="19" spans="1:12">
      <c r="A19" s="4" t="s">
        <v>1</v>
      </c>
      <c r="B19" s="76" t="s">
        <v>152</v>
      </c>
      <c r="C19" s="23"/>
      <c r="D19" s="23"/>
      <c r="E19" s="23"/>
      <c r="F19" s="23"/>
      <c r="G19" s="23"/>
      <c r="K19" s="3"/>
      <c r="L19" s="3"/>
    </row>
    <row r="20" spans="1:12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K20" s="3"/>
      <c r="L20" s="3"/>
    </row>
    <row r="21" spans="1:12">
      <c r="A21" s="4" t="s">
        <v>4</v>
      </c>
      <c r="B21" s="29">
        <v>201500</v>
      </c>
      <c r="C21" s="29">
        <v>77100</v>
      </c>
      <c r="D21" s="29">
        <v>15485</v>
      </c>
      <c r="E21" s="29">
        <f>B21+C21+D21</f>
        <v>294085</v>
      </c>
      <c r="F21" s="30" t="s">
        <v>14</v>
      </c>
      <c r="G21" s="125">
        <v>10</v>
      </c>
      <c r="K21" s="14"/>
      <c r="L21" s="3"/>
    </row>
    <row r="22" spans="1:12">
      <c r="A22" s="4" t="s">
        <v>5</v>
      </c>
      <c r="B22" s="29">
        <v>230300</v>
      </c>
      <c r="C22" s="29">
        <v>77100</v>
      </c>
      <c r="D22" s="29">
        <v>15197</v>
      </c>
      <c r="E22" s="29">
        <f>B22+C22+D22</f>
        <v>322597</v>
      </c>
      <c r="F22" s="30" t="s">
        <v>14</v>
      </c>
      <c r="G22" s="125"/>
      <c r="K22" s="12"/>
      <c r="L22" s="3"/>
    </row>
    <row r="23" spans="1:12">
      <c r="B23" s="23"/>
      <c r="C23" s="23"/>
      <c r="D23" s="23"/>
      <c r="E23" s="23"/>
      <c r="F23" s="23"/>
      <c r="G23" s="23"/>
    </row>
    <row r="24" spans="1:12" s="42" customFormat="1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 s="42" customFormat="1">
      <c r="A25" s="44" t="s">
        <v>19</v>
      </c>
      <c r="B25" s="46">
        <f>(((B11+B12)/2*$G$11+(B16+B17)/2*$G$16+(B21+B22)/2*$G$21))/($G$11+$G$16+$G$21)/$B$5</f>
        <v>810.76513315577006</v>
      </c>
      <c r="C25" s="46">
        <f>(((C11+C12)/2*$G$11+(C16+C17)/2*$G$16+(C21+C22)/2*$G$21)/($G$11+$G$16+$G$21))/$B$5</f>
        <v>159.3469050325514</v>
      </c>
      <c r="D25" s="46">
        <f>(((D11+D12)/2*$G$11+(D16+D17)/2*$G$16+(D21+D22)/2*$G$21)/($G$11+$G$16+$G$21))/$B$5</f>
        <v>75.033651458229855</v>
      </c>
      <c r="E25" s="46">
        <f>B25+C25+D25</f>
        <v>1045.1456896465513</v>
      </c>
      <c r="H25" s="61"/>
      <c r="I25" s="61"/>
    </row>
    <row r="28" spans="1:12">
      <c r="A28" t="s">
        <v>9</v>
      </c>
      <c r="B28" s="23" t="s">
        <v>57</v>
      </c>
      <c r="C28" s="23"/>
      <c r="D28" s="23"/>
      <c r="E28" s="23"/>
      <c r="F28" s="23"/>
      <c r="G28" s="23"/>
    </row>
    <row r="29" spans="1:12">
      <c r="A29" t="s">
        <v>18</v>
      </c>
      <c r="B29" s="23">
        <v>512.5</v>
      </c>
      <c r="C29" s="23"/>
      <c r="D29" s="23"/>
      <c r="E29" s="23"/>
      <c r="F29" s="23"/>
      <c r="G29" s="23"/>
    </row>
    <row r="30" spans="1:12">
      <c r="A30" t="s">
        <v>11</v>
      </c>
      <c r="B30" s="25">
        <v>43413</v>
      </c>
      <c r="C30" s="23"/>
      <c r="D30" s="23"/>
      <c r="E30" s="23"/>
      <c r="F30" s="23"/>
      <c r="G30" s="23"/>
    </row>
    <row r="31" spans="1:12">
      <c r="A31" t="s">
        <v>12</v>
      </c>
      <c r="B31" s="25">
        <v>43432</v>
      </c>
      <c r="C31" s="23"/>
      <c r="D31" s="23"/>
      <c r="E31" s="23"/>
      <c r="F31" s="23"/>
      <c r="G31" s="23"/>
    </row>
    <row r="32" spans="1:12">
      <c r="B32" s="23"/>
      <c r="C32" s="23"/>
      <c r="D32" s="23"/>
      <c r="E32" s="23"/>
      <c r="F32" s="23"/>
      <c r="G32" s="23"/>
    </row>
    <row r="33" spans="1:12">
      <c r="A33" s="4" t="s">
        <v>1</v>
      </c>
      <c r="B33" s="76" t="s">
        <v>150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507400</v>
      </c>
      <c r="C35" s="29">
        <v>77100</v>
      </c>
      <c r="D35" s="29">
        <v>45141</v>
      </c>
      <c r="E35" s="29">
        <f>B35+C35+D35</f>
        <v>629641</v>
      </c>
      <c r="F35" s="30" t="s">
        <v>14</v>
      </c>
      <c r="G35" s="125">
        <v>8</v>
      </c>
    </row>
    <row r="36" spans="1:12">
      <c r="A36" s="4" t="s">
        <v>5</v>
      </c>
      <c r="B36" s="29">
        <v>561400</v>
      </c>
      <c r="C36" s="29">
        <v>77100</v>
      </c>
      <c r="D36" s="29">
        <v>27696</v>
      </c>
      <c r="E36" s="29">
        <f>B36+C36+D36</f>
        <v>666196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6" t="s">
        <v>151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18</v>
      </c>
      <c r="K39" s="3"/>
    </row>
    <row r="40" spans="1:12">
      <c r="A40" s="4" t="s">
        <v>4</v>
      </c>
      <c r="B40" s="29">
        <v>547000</v>
      </c>
      <c r="C40" s="29">
        <v>77100</v>
      </c>
      <c r="D40" s="29">
        <v>45141</v>
      </c>
      <c r="E40" s="29">
        <f>B40+C40+D40</f>
        <v>669241</v>
      </c>
      <c r="F40" s="30" t="s">
        <v>14</v>
      </c>
      <c r="G40" s="125">
        <v>10</v>
      </c>
      <c r="I40" s="54" t="s">
        <v>61</v>
      </c>
      <c r="J40" s="55">
        <f>(G35*100/(G35+G40+G45))^2+(G40*100/(G35+G40+G45))^2+(G45*100/(G35+G40+G45))^2</f>
        <v>5061.7283950617284</v>
      </c>
      <c r="L40" s="9"/>
    </row>
    <row r="41" spans="1:12">
      <c r="A41" s="4" t="s">
        <v>5</v>
      </c>
      <c r="B41" s="29">
        <v>608100</v>
      </c>
      <c r="C41" s="29">
        <v>77100</v>
      </c>
      <c r="D41" s="29">
        <v>29663</v>
      </c>
      <c r="E41" s="29">
        <f>B41+C41+D41</f>
        <v>714863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6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7" spans="1:12">
      <c r="B47" s="23"/>
      <c r="C47" s="23"/>
      <c r="D47" s="23"/>
      <c r="E47" s="23"/>
      <c r="F47" s="23"/>
      <c r="G47" s="23"/>
    </row>
    <row r="48" spans="1:12" s="42" customFormat="1">
      <c r="B48" s="78" t="s">
        <v>8</v>
      </c>
      <c r="C48" s="78" t="s">
        <v>7</v>
      </c>
      <c r="D48" s="78" t="s">
        <v>6</v>
      </c>
      <c r="E48" s="78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((((B35+B36)/2*$G$35+(B40+B41)/2*$G$40+(B45+B46)/2*$G$45))/($J$39))/$B$29</f>
        <v>1089.5067750677508</v>
      </c>
      <c r="C49" s="46">
        <f t="shared" ref="C49:D49" si="0">(((C35+C36)/2*$G$35+(C40+C41)/2*$G$40+(C45+C46)/2*$G$45))/($J$39)/$B$29</f>
        <v>150.4390243902439</v>
      </c>
      <c r="D49" s="46">
        <f t="shared" si="0"/>
        <v>72.126612466124669</v>
      </c>
      <c r="E49" s="46">
        <f>B49+C49+D49</f>
        <v>1312.0724119241195</v>
      </c>
      <c r="H49" s="61"/>
      <c r="I49" s="61"/>
    </row>
    <row r="52" spans="1:12">
      <c r="A52" t="s">
        <v>9</v>
      </c>
      <c r="B52" s="23" t="s">
        <v>58</v>
      </c>
      <c r="C52" s="23"/>
    </row>
    <row r="53" spans="1:12">
      <c r="A53" t="s">
        <v>18</v>
      </c>
      <c r="B53" s="23">
        <v>202.22</v>
      </c>
      <c r="C53" s="23"/>
    </row>
    <row r="54" spans="1:12">
      <c r="A54" t="s">
        <v>11</v>
      </c>
      <c r="B54" s="1">
        <v>43413</v>
      </c>
    </row>
    <row r="55" spans="1:12">
      <c r="A55" t="s">
        <v>12</v>
      </c>
      <c r="B55" s="1">
        <v>43432</v>
      </c>
    </row>
    <row r="57" spans="1:12">
      <c r="A57" s="4" t="s">
        <v>1</v>
      </c>
      <c r="B57" s="76" t="s">
        <v>150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21600</v>
      </c>
      <c r="C59" s="29">
        <v>69400</v>
      </c>
      <c r="D59" s="29">
        <v>45141</v>
      </c>
      <c r="E59" s="29">
        <f>B59+C59+D59</f>
        <v>136141</v>
      </c>
      <c r="F59" s="30" t="s">
        <v>14</v>
      </c>
      <c r="G59" s="125">
        <v>10</v>
      </c>
    </row>
    <row r="60" spans="1:12">
      <c r="A60" s="4" t="s">
        <v>5</v>
      </c>
      <c r="B60" s="29">
        <v>75600</v>
      </c>
      <c r="C60" s="29">
        <v>69400</v>
      </c>
      <c r="D60" s="29">
        <v>16744</v>
      </c>
      <c r="E60" s="29">
        <f>B60+C60+D60</f>
        <v>161744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6" t="s">
        <v>151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</f>
        <v>22</v>
      </c>
      <c r="K63" s="3"/>
    </row>
    <row r="64" spans="1:12">
      <c r="A64" s="4" t="s">
        <v>4</v>
      </c>
      <c r="B64" s="29">
        <v>180000</v>
      </c>
      <c r="C64" s="29">
        <v>69400</v>
      </c>
      <c r="D64" s="29">
        <v>15700</v>
      </c>
      <c r="E64" s="29">
        <f>B64+C64+D64</f>
        <v>265100</v>
      </c>
      <c r="F64" s="30" t="s">
        <v>14</v>
      </c>
      <c r="G64" s="125">
        <v>11</v>
      </c>
      <c r="I64" s="54" t="s">
        <v>61</v>
      </c>
      <c r="J64" s="55">
        <f>(G59*100/(G59+G64+G69))^2+(G64*100/(G59+G64+G69))^2+(G69*100/(G59+G64+G69))^2</f>
        <v>4586.7768595041325</v>
      </c>
      <c r="L64" s="9"/>
    </row>
    <row r="65" spans="1:12">
      <c r="A65" s="4" t="s">
        <v>5</v>
      </c>
      <c r="B65" s="29">
        <v>215900</v>
      </c>
      <c r="C65" s="29">
        <v>69400</v>
      </c>
      <c r="D65" s="29">
        <v>15341</v>
      </c>
      <c r="E65" s="29">
        <f>B65+C65+D65</f>
        <v>300641</v>
      </c>
      <c r="F65" s="30" t="s">
        <v>14</v>
      </c>
      <c r="G65" s="125"/>
      <c r="L65" s="10"/>
    </row>
    <row r="66" spans="1:12">
      <c r="B66" s="23"/>
      <c r="C66" s="23"/>
      <c r="D66" s="23"/>
      <c r="E66" s="23"/>
      <c r="F66" s="23"/>
      <c r="G66" s="23"/>
      <c r="K66" s="3"/>
      <c r="L66" s="3"/>
    </row>
    <row r="67" spans="1:12">
      <c r="A67" s="4" t="s">
        <v>1</v>
      </c>
      <c r="B67" s="81" t="s">
        <v>153</v>
      </c>
      <c r="C67" s="23"/>
      <c r="D67" s="23"/>
      <c r="E67" s="23"/>
      <c r="F67" s="23"/>
      <c r="G67" s="23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K68" s="3"/>
      <c r="L68" s="3"/>
    </row>
    <row r="69" spans="1:12">
      <c r="A69" s="4" t="s">
        <v>4</v>
      </c>
      <c r="B69" s="29">
        <v>230300</v>
      </c>
      <c r="C69" s="29">
        <v>69400</v>
      </c>
      <c r="D69" s="29">
        <v>15197</v>
      </c>
      <c r="E69" s="29">
        <f>B69+C69+D69</f>
        <v>314897</v>
      </c>
      <c r="F69" s="30" t="s">
        <v>14</v>
      </c>
      <c r="G69" s="125">
        <v>1</v>
      </c>
      <c r="K69" s="14"/>
      <c r="L69" s="3"/>
    </row>
    <row r="70" spans="1:12">
      <c r="A70" s="4" t="s">
        <v>5</v>
      </c>
      <c r="B70" s="29">
        <v>230300</v>
      </c>
      <c r="C70" s="29">
        <v>69400</v>
      </c>
      <c r="D70" s="29">
        <v>15197</v>
      </c>
      <c r="E70" s="29">
        <f>B70+C70+D70</f>
        <v>314897</v>
      </c>
      <c r="F70" s="30" t="s">
        <v>14</v>
      </c>
      <c r="G70" s="125"/>
      <c r="K70" s="12"/>
      <c r="L70" s="3"/>
    </row>
    <row r="72" spans="1:12" s="42" customFormat="1">
      <c r="B72" s="78" t="s">
        <v>8</v>
      </c>
      <c r="C72" s="78" t="s">
        <v>7</v>
      </c>
      <c r="D72" s="78" t="s">
        <v>6</v>
      </c>
      <c r="E72" s="78" t="s">
        <v>10</v>
      </c>
      <c r="I72" s="47"/>
      <c r="J72" s="11"/>
      <c r="K72" s="47"/>
    </row>
    <row r="73" spans="1:12" s="42" customFormat="1">
      <c r="A73" s="44" t="s">
        <v>19</v>
      </c>
      <c r="B73" s="46">
        <f>(((B59+B60)/2*$G$59+(B64+B65)/2*$G$64+(B69+B70)/2*$G$69))/($J$63)/$B$53</f>
        <v>650.45045450049906</v>
      </c>
      <c r="C73" s="46">
        <f t="shared" ref="C73:D73" si="1">(((C59+C60)/2*$G$59+(C64+C65)/2*$G$64+(C69+C70)/2*$G$69))/($J$63)/$B$53</f>
        <v>343.19058451191773</v>
      </c>
      <c r="D73" s="46">
        <f t="shared" si="1"/>
        <v>111.3430692045567</v>
      </c>
      <c r="E73" s="46">
        <f>B73+C73+D73</f>
        <v>1104.9841082169735</v>
      </c>
      <c r="H73" s="61"/>
      <c r="I73" s="61"/>
    </row>
    <row r="76" spans="1:12">
      <c r="A76" t="s">
        <v>9</v>
      </c>
      <c r="B76" s="23" t="s">
        <v>59</v>
      </c>
      <c r="C76" s="23"/>
    </row>
    <row r="77" spans="1:12">
      <c r="A77" t="s">
        <v>18</v>
      </c>
      <c r="B77" s="23">
        <v>767.18</v>
      </c>
      <c r="C77" s="23"/>
    </row>
    <row r="78" spans="1:12">
      <c r="A78" t="s">
        <v>11</v>
      </c>
      <c r="B78" s="1">
        <v>43413</v>
      </c>
    </row>
    <row r="79" spans="1:12">
      <c r="A79" t="s">
        <v>12</v>
      </c>
      <c r="B79" s="1">
        <v>43432</v>
      </c>
    </row>
    <row r="81" spans="1:12">
      <c r="A81" s="4" t="s">
        <v>1</v>
      </c>
      <c r="B81" s="76" t="s">
        <v>151</v>
      </c>
      <c r="C81" s="23"/>
      <c r="D81" s="23"/>
      <c r="E81" s="23"/>
      <c r="F81" s="23"/>
      <c r="G81" s="23"/>
    </row>
    <row r="82" spans="1:12">
      <c r="A82" s="4" t="s">
        <v>3</v>
      </c>
      <c r="B82" s="28" t="s">
        <v>8</v>
      </c>
      <c r="C82" s="28" t="s">
        <v>7</v>
      </c>
      <c r="D82" s="28" t="s">
        <v>6</v>
      </c>
      <c r="E82" s="28" t="s">
        <v>10</v>
      </c>
      <c r="F82" s="28" t="s">
        <v>13</v>
      </c>
      <c r="G82" s="28" t="s">
        <v>15</v>
      </c>
    </row>
    <row r="83" spans="1:12">
      <c r="A83" s="4" t="s">
        <v>4</v>
      </c>
      <c r="B83" s="29">
        <v>162000</v>
      </c>
      <c r="C83" s="29">
        <v>73000</v>
      </c>
      <c r="D83" s="29">
        <v>15880</v>
      </c>
      <c r="E83" s="29">
        <f>B83+C83+D83</f>
        <v>250880</v>
      </c>
      <c r="F83" s="30" t="s">
        <v>14</v>
      </c>
      <c r="G83" s="125">
        <v>5</v>
      </c>
    </row>
    <row r="84" spans="1:12">
      <c r="A84" s="4" t="s">
        <v>5</v>
      </c>
      <c r="B84" s="29">
        <v>341900</v>
      </c>
      <c r="C84" s="29">
        <v>73000</v>
      </c>
      <c r="D84" s="29">
        <v>18238</v>
      </c>
      <c r="E84" s="29">
        <f>B84+C84+D84</f>
        <v>433138</v>
      </c>
      <c r="F84" s="30" t="s">
        <v>14</v>
      </c>
      <c r="G84" s="125"/>
    </row>
    <row r="85" spans="1:12">
      <c r="B85" s="23"/>
      <c r="C85" s="23"/>
      <c r="D85" s="23"/>
      <c r="E85" s="23"/>
      <c r="F85" s="23"/>
      <c r="G85" s="23"/>
      <c r="K85" s="82"/>
    </row>
    <row r="86" spans="1:12">
      <c r="A86" s="4" t="s">
        <v>1</v>
      </c>
      <c r="B86" s="81" t="s">
        <v>153</v>
      </c>
      <c r="C86" s="23"/>
      <c r="D86" s="23"/>
      <c r="E86" s="23"/>
      <c r="F86" s="23"/>
      <c r="G86" s="23"/>
      <c r="K86" s="2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  <c r="I87" s="57" t="s">
        <v>63</v>
      </c>
      <c r="J87" s="12">
        <f>G83+G88+G93</f>
        <v>10</v>
      </c>
      <c r="K87" s="3"/>
    </row>
    <row r="88" spans="1:12">
      <c r="A88" s="4" t="s">
        <v>4</v>
      </c>
      <c r="B88" s="29">
        <v>269900</v>
      </c>
      <c r="C88" s="29">
        <v>73000</v>
      </c>
      <c r="D88" s="29">
        <v>15207</v>
      </c>
      <c r="E88" s="29">
        <f>B88+C88+D88</f>
        <v>358107</v>
      </c>
      <c r="F88" s="30" t="s">
        <v>14</v>
      </c>
      <c r="G88" s="125">
        <v>5</v>
      </c>
      <c r="I88" s="54" t="s">
        <v>61</v>
      </c>
      <c r="J88" s="55">
        <f>(G83*100/(G83+G88+G93))^2+(G88*100/(G83+G88+G93))^2+(G93*100/(G83+G88+G93))^2</f>
        <v>5000</v>
      </c>
      <c r="L88" s="9"/>
    </row>
    <row r="89" spans="1:12">
      <c r="A89" s="4" t="s">
        <v>5</v>
      </c>
      <c r="B89" s="29">
        <v>305900</v>
      </c>
      <c r="C89" s="29">
        <v>73000</v>
      </c>
      <c r="D89" s="29">
        <v>16723</v>
      </c>
      <c r="E89" s="29">
        <f>B89+C89+D89</f>
        <v>395623</v>
      </c>
      <c r="F89" s="30" t="s">
        <v>14</v>
      </c>
      <c r="G89" s="125"/>
      <c r="L89" s="10"/>
    </row>
    <row r="90" spans="1:12">
      <c r="B90" s="23"/>
      <c r="C90" s="23"/>
      <c r="D90" s="23"/>
      <c r="E90" s="23"/>
      <c r="F90" s="23"/>
      <c r="G90" s="23"/>
      <c r="K90" s="3"/>
      <c r="L90" s="3"/>
    </row>
    <row r="91" spans="1:12">
      <c r="A91" s="4" t="s">
        <v>1</v>
      </c>
      <c r="B91" s="76"/>
      <c r="C91" s="23"/>
      <c r="D91" s="23"/>
      <c r="E91" s="23"/>
      <c r="F91" s="23"/>
      <c r="G91" s="23"/>
      <c r="K91" s="3"/>
      <c r="L91" s="3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K92" s="3"/>
      <c r="L92" s="3"/>
    </row>
    <row r="93" spans="1:12">
      <c r="A93" s="4" t="s">
        <v>4</v>
      </c>
      <c r="B93" s="29"/>
      <c r="C93" s="29"/>
      <c r="D93" s="29"/>
      <c r="E93" s="29">
        <f>B93+C93+D93</f>
        <v>0</v>
      </c>
      <c r="F93" s="30" t="s">
        <v>14</v>
      </c>
      <c r="G93" s="125"/>
      <c r="K93" s="14"/>
      <c r="L93" s="3"/>
    </row>
    <row r="94" spans="1:12">
      <c r="A94" s="4" t="s">
        <v>5</v>
      </c>
      <c r="B94" s="29"/>
      <c r="C94" s="29"/>
      <c r="D94" s="29"/>
      <c r="E94" s="29">
        <f>B94+C94+D94</f>
        <v>0</v>
      </c>
      <c r="F94" s="30" t="s">
        <v>14</v>
      </c>
      <c r="G94" s="125"/>
      <c r="K94" s="12"/>
      <c r="L94" s="3"/>
    </row>
    <row r="96" spans="1:12" s="42" customFormat="1">
      <c r="B96" s="78" t="s">
        <v>8</v>
      </c>
      <c r="C96" s="78" t="s">
        <v>7</v>
      </c>
      <c r="D96" s="78" t="s">
        <v>6</v>
      </c>
      <c r="E96" s="78" t="s">
        <v>10</v>
      </c>
      <c r="I96" s="47"/>
      <c r="J96" s="11"/>
      <c r="K96" s="47"/>
    </row>
    <row r="97" spans="1:12" s="42" customFormat="1">
      <c r="A97" s="44" t="s">
        <v>19</v>
      </c>
      <c r="B97" s="46">
        <f>(((B83+B84)/2*$G$83+(B88+B89)/2*$G$88+(B93+B94)/2*$G$93))/($J$87)/$B$77</f>
        <v>351.8405067911051</v>
      </c>
      <c r="C97" s="46">
        <f t="shared" ref="C97:D97" si="2">(((C83+C84)/2*$G$83+(C88+C89)/2*$G$88+(C93+C94)/2*$G$93))/($J$87)/$B$77</f>
        <v>95.153679710107156</v>
      </c>
      <c r="D97" s="46">
        <f t="shared" si="2"/>
        <v>21.522980265387524</v>
      </c>
      <c r="E97" s="46">
        <f>B97+C97+D97</f>
        <v>468.51716676659976</v>
      </c>
      <c r="H97" s="61"/>
      <c r="I97" s="61"/>
    </row>
    <row r="100" spans="1:12">
      <c r="A100" t="s">
        <v>9</v>
      </c>
      <c r="B100" s="23" t="s">
        <v>60</v>
      </c>
      <c r="C100" s="23"/>
    </row>
    <row r="101" spans="1:12">
      <c r="A101" t="s">
        <v>18</v>
      </c>
      <c r="B101" s="23">
        <v>456.82</v>
      </c>
      <c r="C101" s="23"/>
    </row>
    <row r="102" spans="1:12">
      <c r="A102" t="s">
        <v>11</v>
      </c>
      <c r="B102" s="1">
        <v>43413</v>
      </c>
    </row>
    <row r="103" spans="1:12">
      <c r="A103" t="s">
        <v>12</v>
      </c>
      <c r="B103" s="1">
        <v>43432</v>
      </c>
    </row>
    <row r="104" spans="1:12">
      <c r="B104" s="23"/>
      <c r="C104" s="23"/>
      <c r="D104" s="23"/>
      <c r="E104" s="23"/>
      <c r="F104" s="23"/>
      <c r="G104" s="23"/>
    </row>
    <row r="105" spans="1:12">
      <c r="A105" s="4" t="s">
        <v>1</v>
      </c>
      <c r="B105" s="76" t="s">
        <v>150</v>
      </c>
      <c r="C105" s="23"/>
      <c r="D105" s="23"/>
      <c r="E105" s="23"/>
      <c r="F105" s="23"/>
      <c r="G105" s="23"/>
    </row>
    <row r="106" spans="1:12">
      <c r="A106" s="4" t="s">
        <v>3</v>
      </c>
      <c r="B106" s="28" t="s">
        <v>8</v>
      </c>
      <c r="C106" s="28" t="s">
        <v>7</v>
      </c>
      <c r="D106" s="28" t="s">
        <v>6</v>
      </c>
      <c r="E106" s="28" t="s">
        <v>10</v>
      </c>
      <c r="F106" s="28" t="s">
        <v>13</v>
      </c>
      <c r="G106" s="28" t="s">
        <v>15</v>
      </c>
    </row>
    <row r="107" spans="1:12">
      <c r="A107" s="4" t="s">
        <v>4</v>
      </c>
      <c r="B107" s="29">
        <v>122400</v>
      </c>
      <c r="C107" s="29">
        <v>73300</v>
      </c>
      <c r="D107" s="29">
        <v>45141</v>
      </c>
      <c r="E107" s="29">
        <f>B107+C107+D107</f>
        <v>240841</v>
      </c>
      <c r="F107" s="30" t="s">
        <v>14</v>
      </c>
      <c r="G107" s="125">
        <v>4</v>
      </c>
    </row>
    <row r="108" spans="1:12">
      <c r="A108" s="4" t="s">
        <v>5</v>
      </c>
      <c r="B108" s="29">
        <v>176400</v>
      </c>
      <c r="C108" s="29">
        <v>73300</v>
      </c>
      <c r="D108" s="29">
        <v>15736</v>
      </c>
      <c r="E108" s="29">
        <f>B108+C108+D108</f>
        <v>265436</v>
      </c>
      <c r="F108" s="30" t="s">
        <v>14</v>
      </c>
      <c r="G108" s="125"/>
    </row>
    <row r="109" spans="1:12">
      <c r="B109" s="23"/>
      <c r="C109" s="23"/>
      <c r="D109" s="23"/>
      <c r="E109" s="23"/>
      <c r="F109" s="23"/>
      <c r="G109" s="23"/>
      <c r="K109" s="82"/>
    </row>
    <row r="110" spans="1:12">
      <c r="A110" s="4" t="s">
        <v>1</v>
      </c>
      <c r="B110" s="76" t="s">
        <v>151</v>
      </c>
      <c r="C110" s="23"/>
      <c r="D110" s="23"/>
      <c r="E110" s="23"/>
      <c r="F110" s="23"/>
      <c r="G110" s="23"/>
      <c r="K110" s="2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  <c r="I111" s="57" t="s">
        <v>63</v>
      </c>
      <c r="J111" s="12">
        <f>G107+G112+G117</f>
        <v>8</v>
      </c>
      <c r="K111" s="3"/>
    </row>
    <row r="112" spans="1:12">
      <c r="A112" s="4" t="s">
        <v>4</v>
      </c>
      <c r="B112" s="29">
        <v>158400</v>
      </c>
      <c r="C112" s="29">
        <v>73300</v>
      </c>
      <c r="D112" s="29">
        <v>15916</v>
      </c>
      <c r="E112" s="29">
        <f>B112+C112+D112</f>
        <v>247616</v>
      </c>
      <c r="F112" s="30" t="s">
        <v>14</v>
      </c>
      <c r="G112" s="125">
        <v>3</v>
      </c>
      <c r="I112" s="54" t="s">
        <v>61</v>
      </c>
      <c r="J112" s="55">
        <f>(G107*100/(G107+G112+G117))^2+(G112*100/(G107+G112+G117))^2+(G117*100/(G107+G112+G117))^2</f>
        <v>4062.5</v>
      </c>
      <c r="L112" s="9"/>
    </row>
    <row r="113" spans="1:12">
      <c r="A113" s="4" t="s">
        <v>5</v>
      </c>
      <c r="B113" s="29">
        <v>273500</v>
      </c>
      <c r="C113" s="29">
        <v>73300</v>
      </c>
      <c r="D113" s="29">
        <v>15374</v>
      </c>
      <c r="E113" s="29">
        <f>B113+C113+D113</f>
        <v>362174</v>
      </c>
      <c r="F113" s="30" t="s">
        <v>14</v>
      </c>
      <c r="G113" s="125"/>
      <c r="L113" s="10"/>
    </row>
    <row r="114" spans="1:12">
      <c r="B114" s="23"/>
      <c r="C114" s="23"/>
      <c r="D114" s="23"/>
      <c r="E114" s="23"/>
      <c r="F114" s="23"/>
      <c r="G114" s="23"/>
      <c r="K114" s="3"/>
      <c r="L114" s="3"/>
    </row>
    <row r="115" spans="1:12">
      <c r="A115" s="4" t="s">
        <v>1</v>
      </c>
      <c r="B115" s="76" t="s">
        <v>153</v>
      </c>
      <c r="C115" s="23"/>
      <c r="D115" s="23"/>
      <c r="E115" s="23"/>
      <c r="F115" s="23"/>
      <c r="G115" s="23"/>
      <c r="K115" s="3"/>
      <c r="L115" s="3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K116" s="3"/>
      <c r="L116" s="3"/>
    </row>
    <row r="117" spans="1:12">
      <c r="A117" s="4" t="s">
        <v>4</v>
      </c>
      <c r="B117" s="29">
        <v>266300</v>
      </c>
      <c r="C117" s="29">
        <v>73300</v>
      </c>
      <c r="D117" s="29">
        <v>15071</v>
      </c>
      <c r="E117" s="29">
        <f>B117+C117+D117</f>
        <v>354671</v>
      </c>
      <c r="F117" s="30" t="s">
        <v>14</v>
      </c>
      <c r="G117" s="125">
        <v>1</v>
      </c>
      <c r="K117" s="14"/>
      <c r="L117" s="3"/>
    </row>
    <row r="118" spans="1:12">
      <c r="A118" s="4" t="s">
        <v>5</v>
      </c>
      <c r="B118" s="29">
        <v>266300</v>
      </c>
      <c r="C118" s="29">
        <v>73300</v>
      </c>
      <c r="D118" s="29">
        <v>15071</v>
      </c>
      <c r="E118" s="29">
        <f>B118+C118+D118</f>
        <v>354671</v>
      </c>
      <c r="F118" s="30" t="s">
        <v>14</v>
      </c>
      <c r="G118" s="125"/>
      <c r="K118" s="12"/>
      <c r="L118" s="3"/>
    </row>
    <row r="120" spans="1:12" s="42" customFormat="1">
      <c r="B120" s="78" t="s">
        <v>8</v>
      </c>
      <c r="C120" s="78" t="s">
        <v>7</v>
      </c>
      <c r="D120" s="78" t="s">
        <v>6</v>
      </c>
      <c r="E120" s="78" t="s">
        <v>10</v>
      </c>
      <c r="I120" s="47"/>
      <c r="J120" s="11"/>
      <c r="K120" s="47"/>
    </row>
    <row r="121" spans="1:12" s="42" customFormat="1">
      <c r="A121" s="44" t="s">
        <v>19</v>
      </c>
      <c r="B121" s="46">
        <f>(((B107+B108)/2*$G$107+(B112+B113)/2*$G$112+(B117+B118)/2*$G$117))/($J$111)/$B$101</f>
        <v>413.66128891029291</v>
      </c>
      <c r="C121" s="46">
        <f t="shared" ref="C121:D121" si="3">(((C107+C108)/2*$G$107+(C112+C113)/2*$G$112+(C117+C118)/2*$G$117))/($J$111)/$B$101</f>
        <v>160.45707280767041</v>
      </c>
      <c r="D121" s="46">
        <f t="shared" si="3"/>
        <v>50.282386935773388</v>
      </c>
      <c r="E121" s="46">
        <f>B121+C121+D121</f>
        <v>624.40074865373674</v>
      </c>
      <c r="H121" s="61"/>
      <c r="I121" s="61"/>
    </row>
    <row r="124" spans="1:12" s="42" customFormat="1" ht="30">
      <c r="A124" s="77" t="s">
        <v>154</v>
      </c>
      <c r="B124" s="67" t="s">
        <v>78</v>
      </c>
      <c r="C124" s="67" t="s">
        <v>80</v>
      </c>
      <c r="D124" s="44" t="s">
        <v>81</v>
      </c>
      <c r="E124" s="67" t="s">
        <v>79</v>
      </c>
    </row>
    <row r="125" spans="1:12" s="42" customFormat="1">
      <c r="A125" s="56">
        <f>(J15*J16+J39*J40+J63*J64+J87*J88+J111*J112)/(J15+J39+J63+J87+J111)</f>
        <v>5314.5500705984568</v>
      </c>
      <c r="B125" s="63">
        <f>(B25*$J$15+B49*$J$39+B73*$J$63+B97*$J$87+B121*$J$111)/($J$15+$J$39+$J$63+$J$87+$J$111)</f>
        <v>758.46804654234688</v>
      </c>
      <c r="C125" s="63">
        <f t="shared" ref="C125:D125" si="4">(C25*$J$15+C49*$J$39+C73*$J$63+C97*$J$87+C121*$J$111)/($J$15+$J$39+$J$63+$J$87+$J$111)</f>
        <v>186.43997324889335</v>
      </c>
      <c r="D125" s="63">
        <f t="shared" si="4"/>
        <v>75.145015295340031</v>
      </c>
      <c r="E125" s="63">
        <f>B125+C125+D125</f>
        <v>1020.0530350865803</v>
      </c>
    </row>
    <row r="126" spans="1:12" s="42" customFormat="1"/>
    <row r="127" spans="1:12" s="42" customFormat="1">
      <c r="A127" s="44" t="s">
        <v>83</v>
      </c>
      <c r="B127" s="68">
        <f>C125/E125</f>
        <v>0.18277478409058276</v>
      </c>
    </row>
  </sheetData>
  <mergeCells count="15">
    <mergeCell ref="G45:G46"/>
    <mergeCell ref="G11:G12"/>
    <mergeCell ref="G16:G17"/>
    <mergeCell ref="G21:G22"/>
    <mergeCell ref="G35:G36"/>
    <mergeCell ref="G40:G41"/>
    <mergeCell ref="G107:G108"/>
    <mergeCell ref="G112:G113"/>
    <mergeCell ref="G117:G118"/>
    <mergeCell ref="G59:G60"/>
    <mergeCell ref="G64:G65"/>
    <mergeCell ref="G69:G70"/>
    <mergeCell ref="G83:G84"/>
    <mergeCell ref="G88:G89"/>
    <mergeCell ref="G93:G9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L123"/>
  <sheetViews>
    <sheetView topLeftCell="A97" workbookViewId="0">
      <selection activeCell="B94" sqref="B94"/>
    </sheetView>
  </sheetViews>
  <sheetFormatPr baseColWidth="10" defaultRowHeight="15"/>
  <cols>
    <col min="1" max="1" width="19.42578125" style="42" bestFit="1" customWidth="1"/>
    <col min="2" max="6" width="11.42578125" style="42"/>
    <col min="7" max="7" width="16.140625" style="42" bestFit="1" customWidth="1"/>
    <col min="8" max="16384" width="11.42578125" style="42"/>
  </cols>
  <sheetData>
    <row r="4" spans="1:12">
      <c r="A4" s="42" t="s">
        <v>9</v>
      </c>
      <c r="B4" s="42" t="s">
        <v>85</v>
      </c>
    </row>
    <row r="5" spans="1:12">
      <c r="A5" s="42" t="s">
        <v>18</v>
      </c>
      <c r="B5" s="42">
        <v>572.29</v>
      </c>
    </row>
    <row r="6" spans="1:12">
      <c r="A6" s="42" t="s">
        <v>11</v>
      </c>
      <c r="B6" s="43">
        <v>43413</v>
      </c>
    </row>
    <row r="7" spans="1:12">
      <c r="A7" s="42" t="s">
        <v>12</v>
      </c>
      <c r="B7" s="43">
        <v>43432</v>
      </c>
    </row>
    <row r="9" spans="1:12">
      <c r="A9" s="44" t="s">
        <v>1</v>
      </c>
      <c r="B9" s="71" t="s">
        <v>86</v>
      </c>
    </row>
    <row r="10" spans="1:12">
      <c r="A10" s="44" t="s">
        <v>3</v>
      </c>
      <c r="B10" s="74" t="s">
        <v>8</v>
      </c>
      <c r="C10" s="74" t="s">
        <v>7</v>
      </c>
      <c r="D10" s="74" t="s">
        <v>6</v>
      </c>
      <c r="E10" s="74" t="s">
        <v>10</v>
      </c>
      <c r="F10" s="74" t="s">
        <v>13</v>
      </c>
      <c r="G10" s="74" t="s">
        <v>15</v>
      </c>
      <c r="I10" s="9"/>
      <c r="J10" s="9"/>
    </row>
    <row r="11" spans="1:12">
      <c r="A11" s="44" t="s">
        <v>4</v>
      </c>
      <c r="B11" s="46">
        <v>570800</v>
      </c>
      <c r="C11" s="46">
        <v>157800</v>
      </c>
      <c r="D11" s="46">
        <v>32308</v>
      </c>
      <c r="E11" s="46">
        <f>B11+C11+D11</f>
        <v>760908</v>
      </c>
      <c r="F11" s="71" t="s">
        <v>14</v>
      </c>
      <c r="G11" s="124">
        <v>29</v>
      </c>
      <c r="I11" s="12"/>
      <c r="J11" s="12"/>
      <c r="K11" s="47"/>
    </row>
    <row r="12" spans="1:12">
      <c r="A12" s="44" t="s">
        <v>5</v>
      </c>
      <c r="B12" s="46">
        <v>1267300</v>
      </c>
      <c r="C12" s="46">
        <v>161700</v>
      </c>
      <c r="D12" s="46">
        <v>61871</v>
      </c>
      <c r="E12" s="46">
        <f>B12+C12+D12</f>
        <v>1490871</v>
      </c>
      <c r="F12" s="71" t="s">
        <v>14</v>
      </c>
      <c r="G12" s="124"/>
      <c r="I12" s="12"/>
      <c r="J12" s="12"/>
      <c r="K12" s="47"/>
    </row>
    <row r="13" spans="1:12">
      <c r="I13" s="13"/>
      <c r="J13" s="13"/>
      <c r="K13" s="2"/>
    </row>
    <row r="14" spans="1:12">
      <c r="A14" s="44" t="s">
        <v>1</v>
      </c>
      <c r="B14" s="71"/>
      <c r="I14" s="47"/>
      <c r="J14" s="14"/>
      <c r="K14" s="2"/>
    </row>
    <row r="15" spans="1:12">
      <c r="A15" s="44" t="s">
        <v>3</v>
      </c>
      <c r="B15" s="74" t="s">
        <v>8</v>
      </c>
      <c r="C15" s="74" t="s">
        <v>7</v>
      </c>
      <c r="D15" s="74" t="s">
        <v>6</v>
      </c>
      <c r="E15" s="74" t="s">
        <v>10</v>
      </c>
      <c r="F15" s="74" t="s">
        <v>13</v>
      </c>
      <c r="G15" s="74" t="s">
        <v>15</v>
      </c>
      <c r="I15" s="57" t="s">
        <v>63</v>
      </c>
      <c r="J15" s="12">
        <f>G11+G16+G21</f>
        <v>29</v>
      </c>
      <c r="K15" s="47"/>
    </row>
    <row r="16" spans="1:12">
      <c r="A16" s="44" t="s">
        <v>4</v>
      </c>
      <c r="B16" s="46"/>
      <c r="C16" s="46"/>
      <c r="D16" s="46"/>
      <c r="E16" s="46">
        <f>B16+C16+D16</f>
        <v>0</v>
      </c>
      <c r="F16" s="71" t="s">
        <v>14</v>
      </c>
      <c r="G16" s="124"/>
      <c r="I16" s="54" t="s">
        <v>61</v>
      </c>
      <c r="J16" s="12">
        <f>(G11*100/(G11+G16+G21))^2+(G16*100/(G11+G16+G21))^2+(G21*100/(G11+G16+G21))^2</f>
        <v>10000</v>
      </c>
      <c r="K16" s="47"/>
      <c r="L16" s="9"/>
    </row>
    <row r="17" spans="1:12">
      <c r="A17" s="44" t="s">
        <v>5</v>
      </c>
      <c r="B17" s="46"/>
      <c r="C17" s="46"/>
      <c r="D17" s="46"/>
      <c r="E17" s="46">
        <f>B17+C17+D17</f>
        <v>0</v>
      </c>
      <c r="F17" s="71" t="s">
        <v>14</v>
      </c>
      <c r="G17" s="124"/>
      <c r="I17" s="47"/>
      <c r="J17" s="13"/>
      <c r="K17" s="47"/>
      <c r="L17" s="10"/>
    </row>
    <row r="18" spans="1:12">
      <c r="I18" s="9"/>
      <c r="J18" s="14"/>
      <c r="K18" s="47"/>
      <c r="L18" s="47"/>
    </row>
    <row r="19" spans="1:12">
      <c r="A19" s="44" t="s">
        <v>1</v>
      </c>
      <c r="B19" s="71"/>
      <c r="I19" s="10"/>
      <c r="J19" s="12"/>
      <c r="K19" s="47"/>
      <c r="L19" s="47"/>
    </row>
    <row r="20" spans="1:12">
      <c r="A20" s="44" t="s">
        <v>3</v>
      </c>
      <c r="B20" s="74" t="s">
        <v>8</v>
      </c>
      <c r="C20" s="74" t="s">
        <v>7</v>
      </c>
      <c r="D20" s="74" t="s">
        <v>6</v>
      </c>
      <c r="E20" s="74" t="s">
        <v>10</v>
      </c>
      <c r="F20" s="74" t="s">
        <v>13</v>
      </c>
      <c r="G20" s="74" t="s">
        <v>15</v>
      </c>
      <c r="I20" s="12"/>
      <c r="J20" s="12"/>
      <c r="K20" s="47"/>
      <c r="L20" s="47"/>
    </row>
    <row r="21" spans="1:12">
      <c r="A21" s="44" t="s">
        <v>4</v>
      </c>
      <c r="B21" s="46"/>
      <c r="C21" s="46"/>
      <c r="D21" s="46"/>
      <c r="E21" s="46">
        <f>B21+C21+D21</f>
        <v>0</v>
      </c>
      <c r="F21" s="71" t="s">
        <v>14</v>
      </c>
      <c r="G21" s="124"/>
      <c r="I21" s="13"/>
      <c r="J21" s="13"/>
      <c r="K21" s="14"/>
      <c r="L21" s="47"/>
    </row>
    <row r="22" spans="1:12">
      <c r="A22" s="44" t="s">
        <v>5</v>
      </c>
      <c r="B22" s="46"/>
      <c r="C22" s="46"/>
      <c r="D22" s="46"/>
      <c r="E22" s="46">
        <f>B22+C22+D22</f>
        <v>0</v>
      </c>
      <c r="F22" s="71" t="s">
        <v>14</v>
      </c>
      <c r="G22" s="124"/>
      <c r="I22" s="12"/>
      <c r="J22" s="13"/>
      <c r="K22" s="12"/>
      <c r="L22" s="47"/>
    </row>
    <row r="23" spans="1:12">
      <c r="I23" s="13"/>
      <c r="J23" s="12"/>
      <c r="K23" s="47"/>
    </row>
    <row r="24" spans="1:12">
      <c r="B24" s="73" t="s">
        <v>8</v>
      </c>
      <c r="C24" s="73" t="s">
        <v>7</v>
      </c>
      <c r="D24" s="73" t="s">
        <v>6</v>
      </c>
      <c r="E24" s="73" t="s">
        <v>10</v>
      </c>
      <c r="I24" s="47"/>
      <c r="J24" s="11"/>
      <c r="K24" s="47"/>
    </row>
    <row r="25" spans="1:12">
      <c r="A25" s="44" t="s">
        <v>19</v>
      </c>
      <c r="B25" s="46">
        <f>(((B11+B12)/2*$G$11+(B16+B17)/2*$G$16+(B21+B22)/2*$G$21))/($G$11+$G$16+$G$21)/$B$5</f>
        <v>1605.9165807545128</v>
      </c>
      <c r="C25" s="46">
        <f>(((C11+C12)/2*$G$11+(C16+C17)/2*$G$16+(C21+C22)/2*$G$21)/($G$11+$G$16+$G$21))/$B$5</f>
        <v>279.1416938964511</v>
      </c>
      <c r="D25" s="46">
        <f>(((D11+D12)/2*$G$11+(D16+D17)/2*$G$16+(D21+D22)/2*$G$21)/($G$11+$G$16+$G$21))/$B$5</f>
        <v>82.282584004613057</v>
      </c>
      <c r="E25" s="46">
        <f>B25+C25+D25</f>
        <v>1967.340858655577</v>
      </c>
      <c r="H25" s="61"/>
      <c r="I25" s="61"/>
    </row>
    <row r="29" spans="1:12">
      <c r="A29" s="42" t="s">
        <v>9</v>
      </c>
      <c r="B29" s="42" t="s">
        <v>87</v>
      </c>
    </row>
    <row r="30" spans="1:12">
      <c r="A30" s="42" t="s">
        <v>18</v>
      </c>
      <c r="B30" s="42">
        <v>344.47</v>
      </c>
    </row>
    <row r="31" spans="1:12">
      <c r="A31" s="42" t="s">
        <v>11</v>
      </c>
      <c r="B31" s="43">
        <v>43365</v>
      </c>
    </row>
    <row r="32" spans="1:12">
      <c r="A32" s="42" t="s">
        <v>12</v>
      </c>
      <c r="B32" s="43">
        <v>43369</v>
      </c>
    </row>
    <row r="34" spans="1:12">
      <c r="A34" s="44" t="s">
        <v>1</v>
      </c>
      <c r="B34" s="71" t="s">
        <v>86</v>
      </c>
    </row>
    <row r="35" spans="1:12">
      <c r="A35" s="44" t="s">
        <v>3</v>
      </c>
      <c r="B35" s="74" t="s">
        <v>8</v>
      </c>
      <c r="C35" s="74" t="s">
        <v>7</v>
      </c>
      <c r="D35" s="74" t="s">
        <v>6</v>
      </c>
      <c r="E35" s="74" t="s">
        <v>10</v>
      </c>
      <c r="F35" s="74" t="s">
        <v>13</v>
      </c>
      <c r="G35" s="74" t="s">
        <v>15</v>
      </c>
      <c r="K35" s="9"/>
    </row>
    <row r="36" spans="1:12">
      <c r="A36" s="44" t="s">
        <v>4</v>
      </c>
      <c r="B36" s="46">
        <v>430800</v>
      </c>
      <c r="C36" s="46">
        <v>157200</v>
      </c>
      <c r="D36" s="46">
        <v>26413</v>
      </c>
      <c r="E36" s="46">
        <f>B36+C36+D36</f>
        <v>614413</v>
      </c>
      <c r="F36" s="71" t="s">
        <v>14</v>
      </c>
      <c r="G36" s="124">
        <v>7</v>
      </c>
      <c r="J36" s="9"/>
      <c r="K36" s="14"/>
      <c r="L36" s="47"/>
    </row>
    <row r="37" spans="1:12">
      <c r="A37" s="44" t="s">
        <v>5</v>
      </c>
      <c r="B37" s="46">
        <v>1173900</v>
      </c>
      <c r="C37" s="46">
        <v>157200</v>
      </c>
      <c r="D37" s="46">
        <v>57702</v>
      </c>
      <c r="E37" s="46">
        <f>B37+C37+D37</f>
        <v>1388802</v>
      </c>
      <c r="F37" s="71" t="s">
        <v>14</v>
      </c>
      <c r="G37" s="124"/>
      <c r="J37" s="10"/>
      <c r="K37" s="12"/>
      <c r="L37" s="47"/>
    </row>
    <row r="38" spans="1:12">
      <c r="J38" s="12"/>
      <c r="K38" s="12"/>
      <c r="L38" s="47"/>
    </row>
    <row r="39" spans="1:12">
      <c r="A39" s="44" t="s">
        <v>1</v>
      </c>
      <c r="B39" s="71"/>
      <c r="J39" s="13"/>
      <c r="K39" s="13"/>
      <c r="L39" s="47"/>
    </row>
    <row r="40" spans="1:12">
      <c r="A40" s="44" t="s">
        <v>3</v>
      </c>
      <c r="B40" s="74" t="s">
        <v>8</v>
      </c>
      <c r="C40" s="74" t="s">
        <v>7</v>
      </c>
      <c r="D40" s="74" t="s">
        <v>6</v>
      </c>
      <c r="E40" s="74" t="s">
        <v>10</v>
      </c>
      <c r="F40" s="74" t="s">
        <v>13</v>
      </c>
      <c r="G40" s="74" t="s">
        <v>15</v>
      </c>
      <c r="I40" s="57" t="s">
        <v>63</v>
      </c>
      <c r="J40" s="12">
        <f>G36+G41+G46</f>
        <v>7</v>
      </c>
      <c r="K40" s="13"/>
      <c r="L40" s="47"/>
    </row>
    <row r="41" spans="1:12">
      <c r="A41" s="44" t="s">
        <v>4</v>
      </c>
      <c r="B41" s="46"/>
      <c r="C41" s="46"/>
      <c r="D41" s="46"/>
      <c r="E41" s="46">
        <f>B41+C41+D41</f>
        <v>0</v>
      </c>
      <c r="F41" s="71" t="s">
        <v>14</v>
      </c>
      <c r="G41" s="124"/>
      <c r="I41" s="54" t="s">
        <v>61</v>
      </c>
      <c r="J41" s="55">
        <f>(G36*100/(G36+G41+G46))^2+(G41*100/(G36+G41+G46))^2+(G46*100/(G36+G41+G46))^2</f>
        <v>10000</v>
      </c>
    </row>
    <row r="42" spans="1:12">
      <c r="A42" s="44" t="s">
        <v>5</v>
      </c>
      <c r="B42" s="46"/>
      <c r="C42" s="46"/>
      <c r="D42" s="46"/>
      <c r="E42" s="46">
        <f>B42+C42+D42</f>
        <v>0</v>
      </c>
      <c r="F42" s="71" t="s">
        <v>14</v>
      </c>
      <c r="G42" s="124"/>
      <c r="J42" s="12"/>
    </row>
    <row r="43" spans="1:12">
      <c r="I43" s="14"/>
      <c r="J43" s="13"/>
    </row>
    <row r="44" spans="1:12">
      <c r="B44" s="73" t="s">
        <v>8</v>
      </c>
      <c r="C44" s="73" t="s">
        <v>7</v>
      </c>
      <c r="D44" s="73" t="s">
        <v>6</v>
      </c>
      <c r="E44" s="73" t="s">
        <v>10</v>
      </c>
      <c r="I44" s="12"/>
      <c r="J44" s="47"/>
    </row>
    <row r="45" spans="1:12">
      <c r="A45" s="44" t="s">
        <v>19</v>
      </c>
      <c r="B45" s="46">
        <f>(((B36+B37)/2*$G$36+(B41+B42)/2*$G$41)/($G$36+$G$41))/$B$30</f>
        <v>2329.2304119371788</v>
      </c>
      <c r="C45" s="46">
        <f t="shared" ref="C45:D45" si="0">(((C36+C37)/2*$G$36+(C41+C42)/2*$G$41)/($G$36+$G$41))/$B$30</f>
        <v>456.35323830812547</v>
      </c>
      <c r="D45" s="46">
        <f t="shared" si="0"/>
        <v>122.09336081516531</v>
      </c>
      <c r="E45" s="46">
        <f>B45+C45+D45</f>
        <v>2907.6770110604698</v>
      </c>
      <c r="I45" s="12"/>
      <c r="J45" s="47"/>
    </row>
    <row r="46" spans="1:12">
      <c r="I46" s="13"/>
      <c r="J46" s="47"/>
    </row>
    <row r="47" spans="1:12">
      <c r="I47" s="47"/>
      <c r="J47" s="47"/>
    </row>
    <row r="49" spans="1:12">
      <c r="A49" s="42" t="s">
        <v>9</v>
      </c>
      <c r="B49" s="42" t="s">
        <v>88</v>
      </c>
    </row>
    <row r="50" spans="1:12">
      <c r="A50" s="42" t="s">
        <v>18</v>
      </c>
      <c r="B50" s="42">
        <v>906.71</v>
      </c>
    </row>
    <row r="51" spans="1:12">
      <c r="A51" s="42" t="s">
        <v>11</v>
      </c>
      <c r="B51" s="43">
        <v>43365</v>
      </c>
    </row>
    <row r="52" spans="1:12">
      <c r="A52" s="42" t="s">
        <v>12</v>
      </c>
      <c r="B52" s="43">
        <v>43369</v>
      </c>
    </row>
    <row r="54" spans="1:12">
      <c r="A54" s="44" t="s">
        <v>1</v>
      </c>
      <c r="B54" s="71" t="s">
        <v>89</v>
      </c>
      <c r="K54" s="9"/>
    </row>
    <row r="55" spans="1:12">
      <c r="A55" s="44" t="s">
        <v>3</v>
      </c>
      <c r="B55" s="74" t="s">
        <v>8</v>
      </c>
      <c r="C55" s="74" t="s">
        <v>7</v>
      </c>
      <c r="D55" s="74" t="s">
        <v>6</v>
      </c>
      <c r="E55" s="74" t="s">
        <v>10</v>
      </c>
      <c r="F55" s="74" t="s">
        <v>13</v>
      </c>
      <c r="G55" s="74" t="s">
        <v>15</v>
      </c>
      <c r="I55" s="14"/>
      <c r="J55" s="47"/>
      <c r="K55" s="9"/>
    </row>
    <row r="56" spans="1:12">
      <c r="A56" s="44" t="s">
        <v>4</v>
      </c>
      <c r="B56" s="46">
        <v>585200</v>
      </c>
      <c r="C56" s="46">
        <v>126600</v>
      </c>
      <c r="D56" s="46">
        <v>31304</v>
      </c>
      <c r="E56" s="46">
        <f>B56+C56+D56</f>
        <v>743104</v>
      </c>
      <c r="F56" s="71" t="s">
        <v>14</v>
      </c>
      <c r="G56" s="124">
        <v>3</v>
      </c>
      <c r="I56" s="12"/>
      <c r="J56" s="47"/>
      <c r="K56" s="14"/>
      <c r="L56" s="47"/>
    </row>
    <row r="57" spans="1:12">
      <c r="A57" s="44" t="s">
        <v>5</v>
      </c>
      <c r="B57" s="46">
        <v>585200</v>
      </c>
      <c r="C57" s="46">
        <v>126600</v>
      </c>
      <c r="D57" s="46">
        <v>31304</v>
      </c>
      <c r="E57" s="46">
        <f>B57+C57+D57</f>
        <v>743104</v>
      </c>
      <c r="F57" s="71" t="s">
        <v>14</v>
      </c>
      <c r="G57" s="124"/>
      <c r="I57" s="12"/>
      <c r="J57" s="47"/>
      <c r="K57" s="12"/>
      <c r="L57" s="47"/>
    </row>
    <row r="58" spans="1:12">
      <c r="I58" s="13"/>
      <c r="J58" s="47"/>
      <c r="K58" s="12"/>
      <c r="L58" s="47"/>
    </row>
    <row r="59" spans="1:12">
      <c r="A59" s="44" t="s">
        <v>1</v>
      </c>
      <c r="B59" s="71" t="s">
        <v>86</v>
      </c>
      <c r="I59" s="47"/>
      <c r="J59" s="47"/>
      <c r="K59" s="13"/>
      <c r="L59" s="47"/>
    </row>
    <row r="60" spans="1:12">
      <c r="A60" s="44" t="s">
        <v>3</v>
      </c>
      <c r="B60" s="74" t="s">
        <v>8</v>
      </c>
      <c r="C60" s="74" t="s">
        <v>7</v>
      </c>
      <c r="D60" s="74" t="s">
        <v>6</v>
      </c>
      <c r="E60" s="74" t="s">
        <v>10</v>
      </c>
      <c r="F60" s="74" t="s">
        <v>13</v>
      </c>
      <c r="G60" s="74" t="s">
        <v>15</v>
      </c>
      <c r="I60" s="57" t="s">
        <v>63</v>
      </c>
      <c r="J60" s="12">
        <f>G56+G61+G66</f>
        <v>6</v>
      </c>
    </row>
    <row r="61" spans="1:12">
      <c r="A61" s="44" t="s">
        <v>4</v>
      </c>
      <c r="B61" s="46">
        <v>585200</v>
      </c>
      <c r="C61" s="46">
        <v>168700</v>
      </c>
      <c r="D61" s="46">
        <v>33519</v>
      </c>
      <c r="E61" s="46">
        <f>B61+C61+D61</f>
        <v>787419</v>
      </c>
      <c r="F61" s="71" t="s">
        <v>14</v>
      </c>
      <c r="G61" s="124">
        <v>3</v>
      </c>
      <c r="I61" s="54" t="s">
        <v>61</v>
      </c>
      <c r="J61" s="55">
        <f>(G56*100/(G56+G61+G66))^2+(G61*100/(G56+G61+G66))^2+(G66*100/(G56+G61+G66))^2</f>
        <v>5000</v>
      </c>
    </row>
    <row r="62" spans="1:12">
      <c r="A62" s="44" t="s">
        <v>5</v>
      </c>
      <c r="B62" s="46">
        <v>585200</v>
      </c>
      <c r="C62" s="46">
        <v>168700</v>
      </c>
      <c r="D62" s="46">
        <v>33519</v>
      </c>
      <c r="E62" s="46">
        <f>B62+C62+D62</f>
        <v>787419</v>
      </c>
      <c r="F62" s="71" t="s">
        <v>14</v>
      </c>
      <c r="G62" s="124"/>
      <c r="I62" s="12"/>
      <c r="J62" s="47"/>
    </row>
    <row r="63" spans="1:12">
      <c r="I63" s="14"/>
      <c r="J63" s="47"/>
    </row>
    <row r="64" spans="1:12">
      <c r="B64" s="73" t="s">
        <v>8</v>
      </c>
      <c r="C64" s="73" t="s">
        <v>7</v>
      </c>
      <c r="D64" s="73" t="s">
        <v>6</v>
      </c>
      <c r="E64" s="73" t="s">
        <v>10</v>
      </c>
      <c r="I64" s="12"/>
      <c r="J64" s="47"/>
    </row>
    <row r="65" spans="1:12">
      <c r="A65" s="44" t="s">
        <v>19</v>
      </c>
      <c r="B65" s="46">
        <f>(((B56+B57)/2*$G$56+(B61+B62)/2*$G$61)/($G$56+$G$61))/$B$50</f>
        <v>645.41032965336217</v>
      </c>
      <c r="C65" s="46">
        <f t="shared" ref="C65:D65" si="1">(((C56+C57)/2*$G$56+(C61+C62)/2*$G$61)/($G$56+$G$61))/$B$50</f>
        <v>162.84148184094141</v>
      </c>
      <c r="D65" s="46">
        <f t="shared" si="1"/>
        <v>35.746269479767513</v>
      </c>
      <c r="E65" s="46">
        <f>B65+C65+D65</f>
        <v>843.99808097407117</v>
      </c>
      <c r="I65" s="12"/>
      <c r="J65" s="47"/>
    </row>
    <row r="66" spans="1:12">
      <c r="I66" s="13"/>
      <c r="J66" s="47"/>
    </row>
    <row r="69" spans="1:12">
      <c r="A69" s="42" t="s">
        <v>9</v>
      </c>
      <c r="B69" s="42" t="s">
        <v>90</v>
      </c>
    </row>
    <row r="70" spans="1:12">
      <c r="A70" s="42" t="s">
        <v>18</v>
      </c>
      <c r="B70" s="42">
        <v>406.77</v>
      </c>
    </row>
    <row r="71" spans="1:12">
      <c r="A71" s="42" t="s">
        <v>11</v>
      </c>
      <c r="B71" s="43">
        <v>43365</v>
      </c>
    </row>
    <row r="72" spans="1:12">
      <c r="A72" s="42" t="s">
        <v>12</v>
      </c>
      <c r="B72" s="43">
        <v>43369</v>
      </c>
    </row>
    <row r="74" spans="1:12">
      <c r="A74" s="44" t="s">
        <v>1</v>
      </c>
      <c r="B74" s="71" t="s">
        <v>86</v>
      </c>
    </row>
    <row r="75" spans="1:12">
      <c r="A75" s="44" t="s">
        <v>3</v>
      </c>
      <c r="B75" s="74" t="s">
        <v>8</v>
      </c>
      <c r="C75" s="74" t="s">
        <v>7</v>
      </c>
      <c r="D75" s="74" t="s">
        <v>6</v>
      </c>
      <c r="E75" s="74" t="s">
        <v>10</v>
      </c>
      <c r="F75" s="74" t="s">
        <v>13</v>
      </c>
      <c r="G75" s="74" t="s">
        <v>15</v>
      </c>
      <c r="I75" s="9"/>
    </row>
    <row r="76" spans="1:12">
      <c r="A76" s="44" t="s">
        <v>4</v>
      </c>
      <c r="B76" s="46">
        <v>398500</v>
      </c>
      <c r="C76" s="46">
        <v>157200</v>
      </c>
      <c r="D76" s="46">
        <v>25053</v>
      </c>
      <c r="E76" s="46">
        <f>B76+C76+D76</f>
        <v>580753</v>
      </c>
      <c r="F76" s="71" t="s">
        <v>14</v>
      </c>
      <c r="G76" s="124">
        <v>6</v>
      </c>
      <c r="I76" s="10"/>
      <c r="J76" s="9"/>
      <c r="K76" s="14"/>
      <c r="L76" s="47"/>
    </row>
    <row r="77" spans="1:12">
      <c r="A77" s="44" t="s">
        <v>5</v>
      </c>
      <c r="B77" s="46">
        <v>1098600</v>
      </c>
      <c r="C77" s="46">
        <v>157200</v>
      </c>
      <c r="D77" s="46">
        <v>54531</v>
      </c>
      <c r="E77" s="46">
        <f>B77+C77+D77</f>
        <v>1310331</v>
      </c>
      <c r="F77" s="71" t="s">
        <v>14</v>
      </c>
      <c r="G77" s="124"/>
      <c r="I77" s="12"/>
      <c r="J77" s="12"/>
      <c r="K77" s="12"/>
      <c r="L77" s="47"/>
    </row>
    <row r="78" spans="1:12">
      <c r="I78" s="13"/>
      <c r="J78" s="12"/>
      <c r="K78" s="12"/>
      <c r="L78" s="47"/>
    </row>
    <row r="79" spans="1:12">
      <c r="A79" s="44" t="s">
        <v>1</v>
      </c>
      <c r="B79" s="71"/>
      <c r="I79" s="47"/>
      <c r="J79" s="13"/>
      <c r="K79" s="13"/>
      <c r="L79" s="47"/>
    </row>
    <row r="80" spans="1:12">
      <c r="A80" s="44" t="s">
        <v>3</v>
      </c>
      <c r="B80" s="74" t="s">
        <v>8</v>
      </c>
      <c r="C80" s="74" t="s">
        <v>7</v>
      </c>
      <c r="D80" s="74" t="s">
        <v>6</v>
      </c>
      <c r="E80" s="74" t="s">
        <v>10</v>
      </c>
      <c r="F80" s="74" t="s">
        <v>13</v>
      </c>
      <c r="G80" s="74" t="s">
        <v>15</v>
      </c>
      <c r="I80" s="57" t="s">
        <v>63</v>
      </c>
      <c r="J80" s="12">
        <f>G76+G81+G86</f>
        <v>6</v>
      </c>
    </row>
    <row r="81" spans="1:10">
      <c r="A81" s="44" t="s">
        <v>4</v>
      </c>
      <c r="B81" s="46"/>
      <c r="C81" s="46"/>
      <c r="D81" s="46"/>
      <c r="E81" s="46">
        <f>B81+C81+D81</f>
        <v>0</v>
      </c>
      <c r="F81" s="71" t="s">
        <v>14</v>
      </c>
      <c r="G81" s="124"/>
      <c r="I81" s="54" t="s">
        <v>61</v>
      </c>
      <c r="J81" s="55">
        <f>(G76*100/(G76+G81+G86))^2+(G81*100/(G76+G81+G86))^2+(G86*100/(G76+G81+G86))^2</f>
        <v>10000</v>
      </c>
    </row>
    <row r="82" spans="1:10">
      <c r="A82" s="44" t="s">
        <v>5</v>
      </c>
      <c r="B82" s="46"/>
      <c r="C82" s="46"/>
      <c r="D82" s="46"/>
      <c r="E82" s="46">
        <f>B82+C82+D82</f>
        <v>0</v>
      </c>
      <c r="F82" s="71" t="s">
        <v>14</v>
      </c>
      <c r="G82" s="124"/>
      <c r="I82" s="12"/>
      <c r="J82" s="47"/>
    </row>
    <row r="83" spans="1:10">
      <c r="I83" s="9"/>
      <c r="J83" s="47"/>
    </row>
    <row r="84" spans="1:10">
      <c r="A84" s="44" t="s">
        <v>1</v>
      </c>
      <c r="B84" s="71"/>
      <c r="I84" s="10"/>
    </row>
    <row r="85" spans="1:10">
      <c r="A85" s="44" t="s">
        <v>3</v>
      </c>
      <c r="B85" s="74" t="s">
        <v>8</v>
      </c>
      <c r="C85" s="74" t="s">
        <v>7</v>
      </c>
      <c r="D85" s="74" t="s">
        <v>6</v>
      </c>
      <c r="E85" s="74" t="s">
        <v>10</v>
      </c>
      <c r="F85" s="74" t="s">
        <v>13</v>
      </c>
      <c r="G85" s="74" t="s">
        <v>15</v>
      </c>
      <c r="I85" s="12"/>
    </row>
    <row r="86" spans="1:10">
      <c r="A86" s="44" t="s">
        <v>4</v>
      </c>
      <c r="B86" s="46"/>
      <c r="C86" s="46"/>
      <c r="D86" s="46"/>
      <c r="E86" s="46">
        <f>B86+C86+D86</f>
        <v>0</v>
      </c>
      <c r="F86" s="71" t="s">
        <v>14</v>
      </c>
      <c r="G86" s="124"/>
      <c r="I86" s="11"/>
    </row>
    <row r="87" spans="1:10">
      <c r="A87" s="44" t="s">
        <v>5</v>
      </c>
      <c r="B87" s="46"/>
      <c r="C87" s="46"/>
      <c r="D87" s="46"/>
      <c r="E87" s="46">
        <f>B87+C87+D87</f>
        <v>0</v>
      </c>
      <c r="F87" s="71" t="s">
        <v>14</v>
      </c>
      <c r="G87" s="124"/>
    </row>
    <row r="89" spans="1:10">
      <c r="B89" s="73" t="s">
        <v>8</v>
      </c>
      <c r="C89" s="73" t="s">
        <v>7</v>
      </c>
      <c r="D89" s="73" t="s">
        <v>6</v>
      </c>
      <c r="E89" s="73" t="s">
        <v>10</v>
      </c>
    </row>
    <row r="90" spans="1:10">
      <c r="A90" s="44" t="s">
        <v>19</v>
      </c>
      <c r="B90" s="46">
        <f>(((B76+B77)/2*$G$76+(B81+B82)/2*$G$81)/($G$76+$G$81))/$B$70</f>
        <v>1840.2291221083169</v>
      </c>
      <c r="C90" s="46">
        <f t="shared" ref="C90:D90" si="2">(((C76+C77)/2*$G$76+(C81+C82)/2*$G$81)/($G$76+$G$81))/$B$70</f>
        <v>386.45917840548714</v>
      </c>
      <c r="D90" s="46">
        <f t="shared" si="2"/>
        <v>97.824323327679039</v>
      </c>
      <c r="E90" s="46">
        <f>B90+C90+D90</f>
        <v>2324.5126238414832</v>
      </c>
    </row>
    <row r="94" spans="1:10">
      <c r="A94" s="42" t="s">
        <v>9</v>
      </c>
      <c r="B94" s="42" t="s">
        <v>91</v>
      </c>
    </row>
    <row r="95" spans="1:10">
      <c r="A95" s="42" t="s">
        <v>18</v>
      </c>
      <c r="B95" s="42">
        <v>673.29</v>
      </c>
    </row>
    <row r="96" spans="1:10">
      <c r="A96" s="42" t="s">
        <v>11</v>
      </c>
      <c r="B96" s="43">
        <v>43365</v>
      </c>
    </row>
    <row r="97" spans="1:12">
      <c r="A97" s="42" t="s">
        <v>12</v>
      </c>
      <c r="B97" s="43">
        <v>43369</v>
      </c>
    </row>
    <row r="99" spans="1:12">
      <c r="A99" s="44" t="s">
        <v>1</v>
      </c>
      <c r="B99" s="71" t="s">
        <v>92</v>
      </c>
    </row>
    <row r="100" spans="1:12">
      <c r="A100" s="44" t="s">
        <v>3</v>
      </c>
      <c r="B100" s="74" t="s">
        <v>8</v>
      </c>
      <c r="C100" s="74" t="s">
        <v>7</v>
      </c>
      <c r="D100" s="74" t="s">
        <v>6</v>
      </c>
      <c r="E100" s="74" t="s">
        <v>10</v>
      </c>
      <c r="F100" s="74" t="s">
        <v>13</v>
      </c>
      <c r="G100" s="74" t="s">
        <v>15</v>
      </c>
    </row>
    <row r="101" spans="1:12">
      <c r="A101" s="44" t="s">
        <v>4</v>
      </c>
      <c r="B101" s="46">
        <v>466700</v>
      </c>
      <c r="C101" s="46">
        <v>161600</v>
      </c>
      <c r="D101" s="46">
        <v>28156</v>
      </c>
      <c r="E101" s="46">
        <f>B101+C101+D101</f>
        <v>656456</v>
      </c>
      <c r="F101" s="71" t="s">
        <v>14</v>
      </c>
      <c r="G101" s="124">
        <v>20</v>
      </c>
      <c r="J101" s="9"/>
      <c r="K101" s="14"/>
      <c r="L101" s="47"/>
    </row>
    <row r="102" spans="1:12">
      <c r="A102" s="44" t="s">
        <v>5</v>
      </c>
      <c r="B102" s="46">
        <v>1051900</v>
      </c>
      <c r="C102" s="46">
        <v>157100</v>
      </c>
      <c r="D102" s="46">
        <v>53559</v>
      </c>
      <c r="E102" s="46">
        <f>B102+C102+D102</f>
        <v>1262559</v>
      </c>
      <c r="F102" s="71" t="s">
        <v>14</v>
      </c>
      <c r="G102" s="124"/>
      <c r="J102" s="10"/>
      <c r="K102" s="12"/>
      <c r="L102" s="47"/>
    </row>
    <row r="103" spans="1:12">
      <c r="J103" s="12"/>
      <c r="K103" s="12"/>
      <c r="L103" s="47"/>
    </row>
    <row r="104" spans="1:12">
      <c r="A104" s="44" t="s">
        <v>1</v>
      </c>
      <c r="B104" s="71"/>
      <c r="J104" s="14"/>
      <c r="K104" s="13"/>
      <c r="L104" s="47"/>
    </row>
    <row r="105" spans="1:12">
      <c r="A105" s="44" t="s">
        <v>3</v>
      </c>
      <c r="B105" s="74" t="s">
        <v>8</v>
      </c>
      <c r="C105" s="74" t="s">
        <v>7</v>
      </c>
      <c r="D105" s="74" t="s">
        <v>6</v>
      </c>
      <c r="E105" s="74" t="s">
        <v>10</v>
      </c>
      <c r="F105" s="74" t="s">
        <v>13</v>
      </c>
      <c r="G105" s="74" t="s">
        <v>15</v>
      </c>
      <c r="I105" s="57" t="s">
        <v>63</v>
      </c>
      <c r="J105" s="12">
        <f>G101+G106+G111</f>
        <v>20</v>
      </c>
      <c r="K105" s="47"/>
    </row>
    <row r="106" spans="1:12">
      <c r="A106" s="44" t="s">
        <v>4</v>
      </c>
      <c r="B106" s="46"/>
      <c r="C106" s="46"/>
      <c r="D106" s="46"/>
      <c r="E106" s="46">
        <f>B106+C106+D106</f>
        <v>0</v>
      </c>
      <c r="F106" s="71" t="s">
        <v>14</v>
      </c>
      <c r="G106" s="124"/>
      <c r="I106" s="54" t="s">
        <v>61</v>
      </c>
      <c r="J106" s="55">
        <f>(G101*100/(G101+G106+G111))^2+(G106*100/(G101+G106+G111))^2+(G111*100/(G101+G106+G111))^2</f>
        <v>10000</v>
      </c>
      <c r="K106" s="47"/>
    </row>
    <row r="107" spans="1:12">
      <c r="A107" s="44" t="s">
        <v>5</v>
      </c>
      <c r="B107" s="46"/>
      <c r="C107" s="46"/>
      <c r="D107" s="46"/>
      <c r="E107" s="46">
        <f>B107+C107+D107</f>
        <v>0</v>
      </c>
      <c r="F107" s="71" t="s">
        <v>14</v>
      </c>
      <c r="G107" s="124"/>
      <c r="J107" s="12"/>
      <c r="K107" s="47"/>
    </row>
    <row r="108" spans="1:12">
      <c r="I108" s="14"/>
      <c r="J108" s="33"/>
      <c r="K108" s="47"/>
    </row>
    <row r="109" spans="1:12">
      <c r="A109" s="44" t="s">
        <v>1</v>
      </c>
      <c r="B109" s="71"/>
      <c r="I109" s="12"/>
      <c r="J109" s="34"/>
      <c r="K109" s="47"/>
    </row>
    <row r="110" spans="1:12">
      <c r="A110" s="44" t="s">
        <v>3</v>
      </c>
      <c r="B110" s="74" t="s">
        <v>8</v>
      </c>
      <c r="C110" s="74" t="s">
        <v>7</v>
      </c>
      <c r="D110" s="74" t="s">
        <v>6</v>
      </c>
      <c r="E110" s="74" t="s">
        <v>10</v>
      </c>
      <c r="F110" s="74" t="s">
        <v>13</v>
      </c>
      <c r="G110" s="74" t="s">
        <v>15</v>
      </c>
      <c r="I110" s="12"/>
      <c r="J110" s="14"/>
      <c r="K110" s="47"/>
    </row>
    <row r="111" spans="1:12">
      <c r="A111" s="44" t="s">
        <v>4</v>
      </c>
      <c r="B111" s="46"/>
      <c r="C111" s="46"/>
      <c r="D111" s="46"/>
      <c r="E111" s="46">
        <f>B111+C111+D111</f>
        <v>0</v>
      </c>
      <c r="F111" s="71" t="s">
        <v>14</v>
      </c>
      <c r="G111" s="124"/>
      <c r="I111" s="13"/>
      <c r="J111" s="12"/>
      <c r="K111" s="47"/>
    </row>
    <row r="112" spans="1:12">
      <c r="A112" s="44" t="s">
        <v>5</v>
      </c>
      <c r="B112" s="46"/>
      <c r="C112" s="46"/>
      <c r="D112" s="46"/>
      <c r="E112" s="46">
        <f>B112+C112+D112</f>
        <v>0</v>
      </c>
      <c r="F112" s="71" t="s">
        <v>14</v>
      </c>
      <c r="G112" s="124"/>
      <c r="J112" s="12"/>
      <c r="K112" s="47"/>
    </row>
    <row r="113" spans="1:11">
      <c r="J113" s="13"/>
      <c r="K113" s="47"/>
    </row>
    <row r="114" spans="1:11">
      <c r="B114" s="73" t="s">
        <v>8</v>
      </c>
      <c r="C114" s="73" t="s">
        <v>7</v>
      </c>
      <c r="D114" s="73" t="s">
        <v>6</v>
      </c>
      <c r="E114" s="73" t="s">
        <v>10</v>
      </c>
      <c r="J114" s="47"/>
      <c r="K114" s="47"/>
    </row>
    <row r="115" spans="1:11">
      <c r="A115" s="44" t="s">
        <v>19</v>
      </c>
      <c r="B115" s="46">
        <f>(((B101+B102)/2*$G$101+(B106+B107)/2*$G$106+(B111+B112)/2*$G$111)/($G$101+$G$106+$G$111))/$B$95</f>
        <v>1127.7458450296306</v>
      </c>
      <c r="C115" s="46">
        <f t="shared" ref="C115:D115" si="3">(((C101+C102)/2*$G$101+(C106+C107)/2*$G$106+(C111+C112)/2*$G$111)/($G$101+$G$106+$G$111))/$B$95</f>
        <v>236.67364731393604</v>
      </c>
      <c r="D115" s="46">
        <f t="shared" si="3"/>
        <v>60.683360810349185</v>
      </c>
      <c r="E115" s="46">
        <f>B115+C115+D115</f>
        <v>1425.1028531539157</v>
      </c>
    </row>
    <row r="120" spans="1:11" ht="30">
      <c r="A120" s="74" t="s">
        <v>93</v>
      </c>
      <c r="B120" s="67" t="s">
        <v>78</v>
      </c>
      <c r="C120" s="67" t="s">
        <v>80</v>
      </c>
      <c r="D120" s="44" t="s">
        <v>81</v>
      </c>
      <c r="E120" s="67" t="s">
        <v>79</v>
      </c>
    </row>
    <row r="121" spans="1:11">
      <c r="A121" s="56">
        <f>(J16*(G11+G16+G21)+J41*(G36+G41)+J61*(G56+G61)+J81*(G76+G81)+J106*(G101+G106+G111))/(G11+G16+G21+G36+G41+G56+G61+G76+G81+G101+G106+G111)</f>
        <v>9558.823529411764</v>
      </c>
      <c r="B121" s="63">
        <f>(B25*$J$15+B45*$J$40+B65*$J$60+B90*$J$80+B115*$J$105)/($J$15+$J$40+$J$60+$J$80+$J$105)</f>
        <v>1475.6609902441735</v>
      </c>
      <c r="C121" s="63">
        <f t="shared" ref="C121:D121" si="4">(C25*$J$15+C45*$J$40+C65*$J$60+C90*$J$80+C115*$J$105)/($J$15+$J$40+$J$60+$J$80+$J$105)</f>
        <v>284.1008632192831</v>
      </c>
      <c r="D121" s="63">
        <f t="shared" si="4"/>
        <v>77.293224042523519</v>
      </c>
      <c r="E121" s="63">
        <f>B121+C121+D121</f>
        <v>1837.0550775059801</v>
      </c>
    </row>
    <row r="123" spans="1:11">
      <c r="A123" s="44" t="s">
        <v>83</v>
      </c>
      <c r="B123" s="68">
        <f>C121/E121</f>
        <v>0.15465016084601213</v>
      </c>
    </row>
  </sheetData>
  <mergeCells count="13">
    <mergeCell ref="G111:G112"/>
    <mergeCell ref="G61:G62"/>
    <mergeCell ref="G76:G77"/>
    <mergeCell ref="G81:G82"/>
    <mergeCell ref="G86:G87"/>
    <mergeCell ref="G101:G102"/>
    <mergeCell ref="G106:G107"/>
    <mergeCell ref="G56:G57"/>
    <mergeCell ref="G11:G12"/>
    <mergeCell ref="G16:G17"/>
    <mergeCell ref="G21:G22"/>
    <mergeCell ref="G36:G37"/>
    <mergeCell ref="G41:G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146"/>
  <sheetViews>
    <sheetView topLeftCell="A19" workbookViewId="0">
      <selection activeCell="A26" sqref="A26:B26"/>
    </sheetView>
  </sheetViews>
  <sheetFormatPr baseColWidth="10" defaultRowHeight="15"/>
  <cols>
    <col min="1" max="1" width="19.42578125" style="42" bestFit="1" customWidth="1"/>
    <col min="2" max="6" width="11.42578125" style="42"/>
    <col min="7" max="7" width="16.140625" style="42" bestFit="1" customWidth="1"/>
    <col min="8" max="16384" width="11.42578125" style="42"/>
  </cols>
  <sheetData>
    <row r="4" spans="1:12">
      <c r="A4" s="42" t="s">
        <v>9</v>
      </c>
      <c r="B4" s="42" t="s">
        <v>0</v>
      </c>
    </row>
    <row r="5" spans="1:12">
      <c r="A5" s="42" t="s">
        <v>18</v>
      </c>
      <c r="B5" s="42">
        <v>232.9</v>
      </c>
    </row>
    <row r="6" spans="1:12">
      <c r="A6" s="42" t="s">
        <v>11</v>
      </c>
      <c r="B6" s="43">
        <v>43413</v>
      </c>
    </row>
    <row r="7" spans="1:12">
      <c r="A7" s="42" t="s">
        <v>12</v>
      </c>
      <c r="B7" s="43">
        <v>43432</v>
      </c>
    </row>
    <row r="9" spans="1:12">
      <c r="A9" s="44" t="s">
        <v>1</v>
      </c>
      <c r="B9" s="75" t="s">
        <v>2</v>
      </c>
    </row>
    <row r="10" spans="1:12">
      <c r="A10" s="44" t="s">
        <v>3</v>
      </c>
      <c r="B10" s="77" t="s">
        <v>8</v>
      </c>
      <c r="C10" s="77" t="s">
        <v>7</v>
      </c>
      <c r="D10" s="77" t="s">
        <v>6</v>
      </c>
      <c r="E10" s="77" t="s">
        <v>10</v>
      </c>
      <c r="F10" s="77" t="s">
        <v>13</v>
      </c>
      <c r="G10" s="77" t="s">
        <v>15</v>
      </c>
      <c r="I10" s="9"/>
      <c r="J10" s="9"/>
    </row>
    <row r="11" spans="1:12">
      <c r="A11" s="44" t="s">
        <v>4</v>
      </c>
      <c r="B11" s="46">
        <v>107000</v>
      </c>
      <c r="C11" s="46">
        <v>35730</v>
      </c>
      <c r="D11" s="46"/>
      <c r="E11" s="46">
        <f>B11+C11+D11</f>
        <v>142730</v>
      </c>
      <c r="F11" s="75" t="s">
        <v>14</v>
      </c>
      <c r="G11" s="124">
        <v>23</v>
      </c>
      <c r="I11" s="12"/>
      <c r="J11" s="12"/>
      <c r="K11" s="47"/>
    </row>
    <row r="12" spans="1:12">
      <c r="A12" s="44" t="s">
        <v>5</v>
      </c>
      <c r="B12" s="46">
        <v>742000</v>
      </c>
      <c r="C12" s="46">
        <v>156380</v>
      </c>
      <c r="D12" s="46"/>
      <c r="E12" s="46">
        <f>B12+C12+D12</f>
        <v>898380</v>
      </c>
      <c r="F12" s="75" t="s">
        <v>14</v>
      </c>
      <c r="G12" s="124"/>
      <c r="I12" s="12"/>
      <c r="J12" s="12"/>
      <c r="K12" s="47"/>
    </row>
    <row r="13" spans="1:12">
      <c r="I13" s="13"/>
      <c r="J13" s="13"/>
      <c r="K13" s="2"/>
    </row>
    <row r="14" spans="1:12">
      <c r="A14" s="44" t="s">
        <v>1</v>
      </c>
      <c r="B14" s="75" t="s">
        <v>16</v>
      </c>
      <c r="I14" s="47"/>
      <c r="J14" s="14"/>
      <c r="K14" s="2"/>
    </row>
    <row r="15" spans="1:12">
      <c r="A15" s="44" t="s">
        <v>3</v>
      </c>
      <c r="B15" s="77" t="s">
        <v>8</v>
      </c>
      <c r="C15" s="77" t="s">
        <v>7</v>
      </c>
      <c r="D15" s="77" t="s">
        <v>6</v>
      </c>
      <c r="E15" s="77" t="s">
        <v>10</v>
      </c>
      <c r="F15" s="77" t="s">
        <v>13</v>
      </c>
      <c r="G15" s="77" t="s">
        <v>15</v>
      </c>
      <c r="I15" s="57" t="s">
        <v>63</v>
      </c>
      <c r="J15" s="12">
        <f>G11+G16+G21</f>
        <v>42</v>
      </c>
      <c r="K15" s="47"/>
    </row>
    <row r="16" spans="1:12">
      <c r="A16" s="44" t="s">
        <v>4</v>
      </c>
      <c r="B16" s="46">
        <v>37681</v>
      </c>
      <c r="C16" s="46">
        <v>36839</v>
      </c>
      <c r="D16" s="46">
        <v>30000</v>
      </c>
      <c r="E16" s="46">
        <f>B16+C16+D16</f>
        <v>104520</v>
      </c>
      <c r="F16" s="75" t="s">
        <v>14</v>
      </c>
      <c r="G16" s="124">
        <v>10</v>
      </c>
      <c r="I16" s="54" t="s">
        <v>61</v>
      </c>
      <c r="J16" s="87">
        <f>(G11*100/(G11+G16+G21))^2+(G16*100/(G11+G16+G21))^2+(G21*100/(G11+G16+G21))^2</f>
        <v>4024.9433106575962</v>
      </c>
      <c r="K16" s="47"/>
      <c r="L16" s="9"/>
    </row>
    <row r="17" spans="1:12">
      <c r="A17" s="44" t="s">
        <v>5</v>
      </c>
      <c r="B17" s="46">
        <v>46084</v>
      </c>
      <c r="C17" s="46">
        <v>38436</v>
      </c>
      <c r="D17" s="46">
        <v>30000</v>
      </c>
      <c r="E17" s="46">
        <f>B17+C17+D17</f>
        <v>114520</v>
      </c>
      <c r="F17" s="75" t="s">
        <v>14</v>
      </c>
      <c r="G17" s="124"/>
      <c r="I17" s="47"/>
      <c r="J17" s="13"/>
      <c r="K17" s="47"/>
      <c r="L17" s="10"/>
    </row>
    <row r="18" spans="1:12">
      <c r="I18" s="47"/>
      <c r="J18" s="14"/>
      <c r="K18" s="47"/>
      <c r="L18" s="47"/>
    </row>
    <row r="19" spans="1:12">
      <c r="A19" s="44" t="s">
        <v>1</v>
      </c>
      <c r="B19" s="75" t="s">
        <v>17</v>
      </c>
      <c r="I19" s="47"/>
      <c r="J19" s="12"/>
      <c r="K19" s="47"/>
      <c r="L19" s="47"/>
    </row>
    <row r="20" spans="1:12">
      <c r="A20" s="44" t="s">
        <v>3</v>
      </c>
      <c r="B20" s="77" t="s">
        <v>8</v>
      </c>
      <c r="C20" s="77" t="s">
        <v>7</v>
      </c>
      <c r="D20" s="77" t="s">
        <v>6</v>
      </c>
      <c r="E20" s="77" t="s">
        <v>10</v>
      </c>
      <c r="F20" s="77" t="s">
        <v>13</v>
      </c>
      <c r="G20" s="77" t="s">
        <v>15</v>
      </c>
      <c r="I20" s="14"/>
      <c r="J20" s="12"/>
      <c r="K20" s="47"/>
      <c r="L20" s="47"/>
    </row>
    <row r="21" spans="1:12">
      <c r="A21" s="44" t="s">
        <v>4</v>
      </c>
      <c r="B21" s="46">
        <v>55400</v>
      </c>
      <c r="C21" s="46">
        <v>25920</v>
      </c>
      <c r="D21" s="46">
        <v>2734</v>
      </c>
      <c r="E21" s="46">
        <f>B21+C21+D21</f>
        <v>84054</v>
      </c>
      <c r="F21" s="75" t="s">
        <v>14</v>
      </c>
      <c r="G21" s="124">
        <v>9</v>
      </c>
      <c r="I21" s="12"/>
      <c r="J21" s="13"/>
      <c r="K21" s="14"/>
      <c r="L21" s="47"/>
    </row>
    <row r="22" spans="1:12">
      <c r="A22" s="44" t="s">
        <v>5</v>
      </c>
      <c r="B22" s="46">
        <v>577100</v>
      </c>
      <c r="C22" s="46">
        <v>125030</v>
      </c>
      <c r="D22" s="46">
        <v>21007</v>
      </c>
      <c r="E22" s="46">
        <f>B22+C22+D22</f>
        <v>723137</v>
      </c>
      <c r="F22" s="75" t="s">
        <v>14</v>
      </c>
      <c r="G22" s="124"/>
      <c r="I22" s="12"/>
      <c r="J22" s="13"/>
      <c r="K22" s="12"/>
      <c r="L22" s="47"/>
    </row>
    <row r="23" spans="1:12">
      <c r="I23" s="13"/>
      <c r="J23" s="12"/>
      <c r="K23" s="47"/>
    </row>
    <row r="24" spans="1:12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>
      <c r="A25" s="44" t="s">
        <v>19</v>
      </c>
      <c r="B25" s="46">
        <f>(((B11+B12)/2*$G$11+(B16+B17)/2*$G$16+(B21+B22)/2*$G$21))/($G$11+$G$16+$G$21)/$B$5</f>
        <v>1331.9199942750824</v>
      </c>
      <c r="C25" s="46">
        <f>(((C11+C12)/2*$G$11+(C16+C17)/2*$G$16+(C21+C22)/2*$G$21)/($G$11+$G$16+$G$21))/$B$5</f>
        <v>333.77445868858496</v>
      </c>
      <c r="D25" s="46">
        <f>(((D11+D12)/2*$G$11+(D16+D17)/2*$G$16+(D21+D22)/2*$G$21)/($G$11+$G$16+$G$21))/$B$5</f>
        <v>41.590964853094519</v>
      </c>
      <c r="E25" s="46">
        <f>(((E11+E12)/2*$G$11+(E16+E17)/2*$G$16+(E21+E22)/2*$G$21)/($G$11+$G$16+$G$21))/$B$5</f>
        <v>1707.2854178167615</v>
      </c>
      <c r="H25" s="61"/>
      <c r="I25" s="61"/>
    </row>
    <row r="26" spans="1:12">
      <c r="A26" s="114" t="s">
        <v>166</v>
      </c>
      <c r="B26" s="115">
        <f>((B11*G11+B16*G16+B21*G21)/J15)/B5</f>
        <v>341.08344067554026</v>
      </c>
    </row>
    <row r="29" spans="1:12">
      <c r="A29" s="42" t="s">
        <v>9</v>
      </c>
      <c r="B29" s="42" t="s">
        <v>22</v>
      </c>
    </row>
    <row r="30" spans="1:12">
      <c r="A30" s="42" t="s">
        <v>18</v>
      </c>
      <c r="B30" s="42">
        <v>298.3</v>
      </c>
    </row>
    <row r="31" spans="1:12">
      <c r="A31" s="42" t="s">
        <v>11</v>
      </c>
      <c r="B31" s="43">
        <v>43365</v>
      </c>
    </row>
    <row r="32" spans="1:12">
      <c r="A32" s="42" t="s">
        <v>12</v>
      </c>
      <c r="B32" s="43">
        <v>43369</v>
      </c>
    </row>
    <row r="34" spans="1:12">
      <c r="A34" s="44" t="s">
        <v>1</v>
      </c>
      <c r="B34" s="75" t="s">
        <v>2</v>
      </c>
    </row>
    <row r="35" spans="1:12">
      <c r="A35" s="44" t="s">
        <v>3</v>
      </c>
      <c r="B35" s="77" t="s">
        <v>8</v>
      </c>
      <c r="C35" s="77" t="s">
        <v>7</v>
      </c>
      <c r="D35" s="77" t="s">
        <v>6</v>
      </c>
      <c r="E35" s="77" t="s">
        <v>10</v>
      </c>
      <c r="F35" s="77" t="s">
        <v>13</v>
      </c>
      <c r="G35" s="77" t="s">
        <v>15</v>
      </c>
      <c r="K35" s="9"/>
    </row>
    <row r="36" spans="1:12">
      <c r="A36" s="44" t="s">
        <v>4</v>
      </c>
      <c r="B36" s="46">
        <v>170200</v>
      </c>
      <c r="C36" s="46">
        <v>47740</v>
      </c>
      <c r="D36" s="46"/>
      <c r="E36" s="46">
        <f>B36+C36+D36</f>
        <v>217940</v>
      </c>
      <c r="F36" s="75" t="s">
        <v>14</v>
      </c>
      <c r="G36" s="124">
        <v>37</v>
      </c>
      <c r="J36" s="9"/>
      <c r="K36" s="10"/>
    </row>
    <row r="37" spans="1:12">
      <c r="A37" s="44" t="s">
        <v>5</v>
      </c>
      <c r="B37" s="46">
        <v>260200</v>
      </c>
      <c r="C37" s="46">
        <v>64840</v>
      </c>
      <c r="D37" s="46"/>
      <c r="E37" s="46">
        <f>B37+C37+D37</f>
        <v>325040</v>
      </c>
      <c r="F37" s="75" t="s">
        <v>14</v>
      </c>
      <c r="G37" s="124"/>
      <c r="J37" s="10"/>
      <c r="K37" s="14"/>
      <c r="L37" s="47"/>
    </row>
    <row r="38" spans="1:12">
      <c r="J38" s="12"/>
      <c r="K38" s="12"/>
      <c r="L38" s="47"/>
    </row>
    <row r="39" spans="1:12">
      <c r="A39" s="44" t="s">
        <v>1</v>
      </c>
      <c r="B39" s="75" t="s">
        <v>17</v>
      </c>
      <c r="J39" s="13"/>
      <c r="K39" s="12"/>
      <c r="L39" s="47"/>
    </row>
    <row r="40" spans="1:12">
      <c r="A40" s="44" t="s">
        <v>3</v>
      </c>
      <c r="B40" s="77" t="s">
        <v>8</v>
      </c>
      <c r="C40" s="77" t="s">
        <v>7</v>
      </c>
      <c r="D40" s="77" t="s">
        <v>6</v>
      </c>
      <c r="E40" s="77" t="s">
        <v>10</v>
      </c>
      <c r="F40" s="77" t="s">
        <v>13</v>
      </c>
      <c r="G40" s="77" t="s">
        <v>15</v>
      </c>
      <c r="I40" s="57" t="s">
        <v>63</v>
      </c>
      <c r="J40" s="12">
        <f>G36+G41+G46</f>
        <v>45</v>
      </c>
      <c r="K40" s="13"/>
      <c r="L40" s="47"/>
    </row>
    <row r="41" spans="1:12">
      <c r="A41" s="44" t="s">
        <v>4</v>
      </c>
      <c r="B41" s="46">
        <v>120800</v>
      </c>
      <c r="C41" s="46">
        <v>38340</v>
      </c>
      <c r="D41" s="46">
        <v>5892</v>
      </c>
      <c r="E41" s="46">
        <f>B41+C41+D41</f>
        <v>165032</v>
      </c>
      <c r="F41" s="75" t="s">
        <v>14</v>
      </c>
      <c r="G41" s="124">
        <v>8</v>
      </c>
      <c r="I41" s="54" t="s">
        <v>61</v>
      </c>
      <c r="J41" s="55">
        <f>(G36*100/(G36+G41+G46))^2+(G41*100/(G36+G41+G46))^2+(G46*100/(G36+G41+G46))^2</f>
        <v>7076.543209876545</v>
      </c>
    </row>
    <row r="42" spans="1:12">
      <c r="A42" s="44" t="s">
        <v>5</v>
      </c>
      <c r="B42" s="46">
        <v>350000</v>
      </c>
      <c r="C42" s="46">
        <v>81890</v>
      </c>
      <c r="D42" s="46">
        <v>15404</v>
      </c>
      <c r="E42" s="46">
        <f>B42+C42+D42</f>
        <v>447294</v>
      </c>
      <c r="F42" s="75" t="s">
        <v>14</v>
      </c>
      <c r="G42" s="124"/>
      <c r="J42" s="12"/>
    </row>
    <row r="43" spans="1:12">
      <c r="I43" s="14"/>
      <c r="J43" s="13"/>
    </row>
    <row r="44" spans="1:12">
      <c r="B44" s="78" t="s">
        <v>8</v>
      </c>
      <c r="C44" s="78" t="s">
        <v>7</v>
      </c>
      <c r="D44" s="78" t="s">
        <v>6</v>
      </c>
      <c r="E44" s="78" t="s">
        <v>10</v>
      </c>
      <c r="I44" s="12"/>
      <c r="J44" s="47"/>
    </row>
    <row r="45" spans="1:12">
      <c r="A45" s="44" t="s">
        <v>19</v>
      </c>
      <c r="B45" s="46">
        <f>(((B36+B37)/2*$G$36+(B41+B42)/2*$G$41)/($G$36+$G$41))/$B$30</f>
        <v>733.45997690617207</v>
      </c>
      <c r="C45" s="46">
        <f t="shared" ref="C45:D45" si="0">(((C36+C37)/2*$G$36+(C41+C42)/2*$G$41)/($G$36+$G$41))/$B$30</f>
        <v>190.98223265169293</v>
      </c>
      <c r="D45" s="46">
        <f t="shared" si="0"/>
        <v>6.3458859462882256</v>
      </c>
      <c r="E45" s="46">
        <f>B45+C45+D45</f>
        <v>930.78809550415326</v>
      </c>
      <c r="I45" s="12"/>
      <c r="J45" s="47"/>
    </row>
    <row r="46" spans="1:12">
      <c r="A46" s="114" t="s">
        <v>166</v>
      </c>
      <c r="B46" s="115">
        <f>((B36*G36+B41*G41)/J40)/B30</f>
        <v>541.12563787387785</v>
      </c>
      <c r="I46" s="13"/>
      <c r="J46" s="47"/>
    </row>
    <row r="47" spans="1:12">
      <c r="I47" s="47"/>
      <c r="J47" s="47"/>
    </row>
    <row r="49" spans="1:11">
      <c r="A49" s="42" t="s">
        <v>9</v>
      </c>
      <c r="B49" s="42" t="s">
        <v>23</v>
      </c>
    </row>
    <row r="50" spans="1:11">
      <c r="A50" s="42" t="s">
        <v>18</v>
      </c>
      <c r="B50" s="42">
        <v>399.8</v>
      </c>
    </row>
    <row r="51" spans="1:11">
      <c r="A51" s="42" t="s">
        <v>11</v>
      </c>
      <c r="B51" s="43">
        <v>43365</v>
      </c>
    </row>
    <row r="52" spans="1:11">
      <c r="A52" s="42" t="s">
        <v>12</v>
      </c>
      <c r="B52" s="43">
        <v>43369</v>
      </c>
    </row>
    <row r="54" spans="1:11">
      <c r="A54" s="44" t="s">
        <v>1</v>
      </c>
      <c r="B54" s="75" t="s">
        <v>2</v>
      </c>
      <c r="K54" s="9"/>
    </row>
    <row r="55" spans="1:11">
      <c r="A55" s="44" t="s">
        <v>3</v>
      </c>
      <c r="B55" s="77" t="s">
        <v>8</v>
      </c>
      <c r="C55" s="77" t="s">
        <v>7</v>
      </c>
      <c r="D55" s="77" t="s">
        <v>6</v>
      </c>
      <c r="E55" s="77" t="s">
        <v>10</v>
      </c>
      <c r="F55" s="77" t="s">
        <v>13</v>
      </c>
      <c r="G55" s="77" t="s">
        <v>15</v>
      </c>
      <c r="I55" s="14"/>
      <c r="J55" s="47"/>
      <c r="K55" s="9"/>
    </row>
    <row r="56" spans="1:11">
      <c r="A56" s="44" t="s">
        <v>4</v>
      </c>
      <c r="B56" s="46">
        <v>168600</v>
      </c>
      <c r="C56" s="46">
        <v>47430</v>
      </c>
      <c r="D56" s="46">
        <v>9359</v>
      </c>
      <c r="E56" s="46">
        <f>B56+C56+D56</f>
        <v>225389</v>
      </c>
      <c r="F56" s="75" t="s">
        <v>14</v>
      </c>
      <c r="G56" s="124">
        <v>10</v>
      </c>
      <c r="I56" s="12"/>
      <c r="J56" s="47"/>
      <c r="K56" s="10"/>
    </row>
    <row r="57" spans="1:11">
      <c r="A57" s="44" t="s">
        <v>5</v>
      </c>
      <c r="B57" s="46">
        <v>190600</v>
      </c>
      <c r="C57" s="46">
        <v>51610</v>
      </c>
      <c r="D57" s="46">
        <v>10476</v>
      </c>
      <c r="E57" s="46">
        <f>B57+C57+D57</f>
        <v>252686</v>
      </c>
      <c r="F57" s="75" t="s">
        <v>14</v>
      </c>
      <c r="G57" s="124"/>
      <c r="I57" s="12"/>
      <c r="J57" s="47"/>
      <c r="K57" s="12"/>
    </row>
    <row r="58" spans="1:11">
      <c r="I58" s="13"/>
      <c r="J58" s="47"/>
      <c r="K58" s="13"/>
    </row>
    <row r="59" spans="1:11">
      <c r="A59" s="44" t="s">
        <v>1</v>
      </c>
      <c r="B59" s="75" t="s">
        <v>17</v>
      </c>
      <c r="I59" s="47"/>
      <c r="J59" s="47"/>
    </row>
    <row r="60" spans="1:11">
      <c r="A60" s="44" t="s">
        <v>3</v>
      </c>
      <c r="B60" s="77" t="s">
        <v>8</v>
      </c>
      <c r="C60" s="77" t="s">
        <v>7</v>
      </c>
      <c r="D60" s="77" t="s">
        <v>6</v>
      </c>
      <c r="E60" s="77" t="s">
        <v>10</v>
      </c>
      <c r="F60" s="77" t="s">
        <v>13</v>
      </c>
      <c r="G60" s="77" t="s">
        <v>15</v>
      </c>
      <c r="I60" s="57" t="s">
        <v>63</v>
      </c>
      <c r="J60" s="12">
        <f>G56+G61+G66</f>
        <v>12</v>
      </c>
    </row>
    <row r="61" spans="1:11">
      <c r="A61" s="44" t="s">
        <v>4</v>
      </c>
      <c r="B61" s="46">
        <v>349600</v>
      </c>
      <c r="C61" s="46">
        <v>81820</v>
      </c>
      <c r="D61" s="46">
        <v>15388</v>
      </c>
      <c r="E61" s="46">
        <f>B61+C61+D61</f>
        <v>446808</v>
      </c>
      <c r="F61" s="75" t="s">
        <v>14</v>
      </c>
      <c r="G61" s="124">
        <v>2</v>
      </c>
      <c r="I61" s="54" t="s">
        <v>61</v>
      </c>
      <c r="J61" s="55">
        <f>(G56*100/(G56+G61+G66))^2+(G61*100/(G56+G61+G66))^2+(G66*100/(G56+G61+G66))^2</f>
        <v>7222.2222222222208</v>
      </c>
    </row>
    <row r="62" spans="1:11">
      <c r="A62" s="44" t="s">
        <v>5</v>
      </c>
      <c r="B62" s="46">
        <v>508100</v>
      </c>
      <c r="C62" s="46">
        <v>111920</v>
      </c>
      <c r="D62" s="46">
        <v>21965</v>
      </c>
      <c r="E62" s="46">
        <f>B62+C62+D62</f>
        <v>641985</v>
      </c>
      <c r="F62" s="75" t="s">
        <v>14</v>
      </c>
      <c r="G62" s="124"/>
      <c r="I62" s="12"/>
      <c r="J62" s="47"/>
    </row>
    <row r="63" spans="1:11">
      <c r="I63" s="14"/>
      <c r="J63" s="47"/>
    </row>
    <row r="64" spans="1:11">
      <c r="B64" s="78" t="s">
        <v>8</v>
      </c>
      <c r="C64" s="78" t="s">
        <v>7</v>
      </c>
      <c r="D64" s="78" t="s">
        <v>6</v>
      </c>
      <c r="E64" s="78" t="s">
        <v>10</v>
      </c>
      <c r="I64" s="12"/>
      <c r="J64" s="47"/>
    </row>
    <row r="65" spans="1:10">
      <c r="A65" s="44" t="s">
        <v>19</v>
      </c>
      <c r="B65" s="46">
        <f>(((B56+B57)/2*$G$56+(B61+B62)/2*$G$61)/($G$56+$G$61))/$B$50</f>
        <v>553.130732032683</v>
      </c>
      <c r="C65" s="46">
        <f t="shared" ref="C65:D65" si="1">(((C56+C57)/2*$G$56+(C61+C62)/2*$G$61)/($G$56+$G$61))/$B$50</f>
        <v>143.60096715024179</v>
      </c>
      <c r="D65" s="46">
        <f t="shared" si="1"/>
        <v>28.45756211439053</v>
      </c>
      <c r="E65" s="46">
        <f>B65+C65+D65</f>
        <v>725.18926129731528</v>
      </c>
      <c r="I65" s="12"/>
      <c r="J65" s="47"/>
    </row>
    <row r="66" spans="1:10">
      <c r="A66" s="114" t="s">
        <v>166</v>
      </c>
      <c r="B66" s="115">
        <f>((B56*G56+B61*G61)/J60)/B50</f>
        <v>497.16524929131231</v>
      </c>
      <c r="I66" s="13"/>
      <c r="J66" s="47"/>
    </row>
    <row r="69" spans="1:10">
      <c r="A69" s="42" t="s">
        <v>9</v>
      </c>
      <c r="B69" s="42" t="s">
        <v>26</v>
      </c>
    </row>
    <row r="70" spans="1:10">
      <c r="A70" s="42" t="s">
        <v>18</v>
      </c>
      <c r="B70" s="42">
        <v>691.1</v>
      </c>
    </row>
    <row r="71" spans="1:10">
      <c r="A71" s="42" t="s">
        <v>11</v>
      </c>
      <c r="B71" s="43">
        <v>43365</v>
      </c>
    </row>
    <row r="72" spans="1:10">
      <c r="A72" s="42" t="s">
        <v>12</v>
      </c>
      <c r="B72" s="43">
        <v>43369</v>
      </c>
    </row>
    <row r="74" spans="1:10">
      <c r="A74" s="44" t="s">
        <v>1</v>
      </c>
      <c r="B74" s="75" t="s">
        <v>17</v>
      </c>
    </row>
    <row r="75" spans="1:10">
      <c r="A75" s="44" t="s">
        <v>3</v>
      </c>
      <c r="B75" s="77" t="s">
        <v>8</v>
      </c>
      <c r="C75" s="77" t="s">
        <v>7</v>
      </c>
      <c r="D75" s="77" t="s">
        <v>6</v>
      </c>
      <c r="E75" s="77" t="s">
        <v>10</v>
      </c>
      <c r="F75" s="77" t="s">
        <v>13</v>
      </c>
      <c r="G75" s="77" t="s">
        <v>15</v>
      </c>
      <c r="I75" s="9"/>
    </row>
    <row r="76" spans="1:10">
      <c r="A76" s="44" t="s">
        <v>4</v>
      </c>
      <c r="B76" s="46">
        <v>86900</v>
      </c>
      <c r="C76" s="46">
        <v>31910</v>
      </c>
      <c r="D76" s="46">
        <v>4486</v>
      </c>
      <c r="E76" s="46">
        <f>B76+C76+D76</f>
        <v>123296</v>
      </c>
      <c r="F76" s="75" t="s">
        <v>14</v>
      </c>
      <c r="G76" s="124">
        <v>3</v>
      </c>
      <c r="I76" s="10"/>
      <c r="J76" s="9"/>
    </row>
    <row r="77" spans="1:10">
      <c r="A77" s="44" t="s">
        <v>5</v>
      </c>
      <c r="B77" s="46">
        <v>117800</v>
      </c>
      <c r="C77" s="46">
        <v>37780</v>
      </c>
      <c r="D77" s="46">
        <v>5768</v>
      </c>
      <c r="E77" s="46">
        <f>B77+C77+D77</f>
        <v>161348</v>
      </c>
      <c r="F77" s="75" t="s">
        <v>14</v>
      </c>
      <c r="G77" s="124"/>
      <c r="I77" s="12"/>
      <c r="J77" s="12"/>
    </row>
    <row r="78" spans="1:10">
      <c r="I78" s="13"/>
      <c r="J78" s="12"/>
    </row>
    <row r="79" spans="1:10">
      <c r="A79" s="44" t="s">
        <v>1</v>
      </c>
      <c r="B79" s="75" t="s">
        <v>27</v>
      </c>
      <c r="I79" s="47"/>
      <c r="J79" s="13"/>
    </row>
    <row r="80" spans="1:10">
      <c r="A80" s="44" t="s">
        <v>3</v>
      </c>
      <c r="B80" s="77" t="s">
        <v>8</v>
      </c>
      <c r="C80" s="77" t="s">
        <v>7</v>
      </c>
      <c r="D80" s="77" t="s">
        <v>6</v>
      </c>
      <c r="E80" s="77" t="s">
        <v>10</v>
      </c>
      <c r="F80" s="77" t="s">
        <v>13</v>
      </c>
      <c r="G80" s="77" t="s">
        <v>15</v>
      </c>
      <c r="I80" s="57" t="s">
        <v>63</v>
      </c>
      <c r="J80" s="12">
        <f>G76+G81</f>
        <v>25</v>
      </c>
    </row>
    <row r="81" spans="1:10">
      <c r="A81" s="44" t="s">
        <v>4</v>
      </c>
      <c r="B81" s="46">
        <v>121300</v>
      </c>
      <c r="C81" s="46">
        <v>38450</v>
      </c>
      <c r="D81" s="46">
        <v>6956</v>
      </c>
      <c r="E81" s="46">
        <f>B81+C81+D81</f>
        <v>166706</v>
      </c>
      <c r="F81" s="75" t="s">
        <v>14</v>
      </c>
      <c r="G81" s="124">
        <v>22</v>
      </c>
      <c r="I81" s="54" t="s">
        <v>61</v>
      </c>
      <c r="J81" s="55">
        <f>(G76*100/(G76+G81))^2+(G81*100/(G76+G81))^2</f>
        <v>7888</v>
      </c>
    </row>
    <row r="82" spans="1:10">
      <c r="A82" s="44" t="s">
        <v>5</v>
      </c>
      <c r="B82" s="46">
        <v>197300</v>
      </c>
      <c r="C82" s="46">
        <v>52890</v>
      </c>
      <c r="D82" s="46">
        <v>10817</v>
      </c>
      <c r="E82" s="46">
        <f>B82+C82+D82</f>
        <v>261007</v>
      </c>
      <c r="F82" s="75" t="s">
        <v>14</v>
      </c>
      <c r="G82" s="124"/>
      <c r="I82" s="12"/>
      <c r="J82" s="47"/>
    </row>
    <row r="83" spans="1:10">
      <c r="I83" s="9"/>
      <c r="J83" s="47"/>
    </row>
    <row r="84" spans="1:10">
      <c r="B84" s="78" t="s">
        <v>8</v>
      </c>
      <c r="C84" s="78" t="s">
        <v>7</v>
      </c>
      <c r="D84" s="78" t="s">
        <v>6</v>
      </c>
      <c r="E84" s="78" t="s">
        <v>10</v>
      </c>
    </row>
    <row r="85" spans="1:10">
      <c r="A85" s="44" t="s">
        <v>19</v>
      </c>
      <c r="B85" s="46">
        <f>(((B76+B77)/2*$G$76+(B81+B82)/2*$G$81)/($G$76+$G$81))/$B$70</f>
        <v>220.61351468673129</v>
      </c>
      <c r="C85" s="46">
        <f>(((C76+C77)/2*$G$76+(C81+C82)/2*$G$81)/($G$76+$G$81))/$B$70</f>
        <v>64.203443785269855</v>
      </c>
      <c r="D85" s="46">
        <f>(((D76+D77)/2*$G$76+(D81+D82)/2*$G$81)/($G$76+$G$81))/$B$70</f>
        <v>12.205701056287079</v>
      </c>
      <c r="E85" s="46">
        <f>B85+C85+D85</f>
        <v>297.02265952828822</v>
      </c>
    </row>
    <row r="86" spans="1:10">
      <c r="A86" s="114" t="s">
        <v>166</v>
      </c>
      <c r="B86" s="115">
        <f>((B76*G76+B81*G81)/J80)/B70</f>
        <v>169.54420489075386</v>
      </c>
    </row>
    <row r="89" spans="1:10">
      <c r="A89" s="42" t="s">
        <v>9</v>
      </c>
      <c r="B89" s="42" t="s">
        <v>28</v>
      </c>
    </row>
    <row r="90" spans="1:10">
      <c r="A90" s="42" t="s">
        <v>18</v>
      </c>
      <c r="B90" s="42">
        <v>656.86</v>
      </c>
    </row>
    <row r="91" spans="1:10">
      <c r="A91" s="42" t="s">
        <v>11</v>
      </c>
      <c r="B91" s="43">
        <v>43365</v>
      </c>
    </row>
    <row r="92" spans="1:10">
      <c r="A92" s="42" t="s">
        <v>12</v>
      </c>
      <c r="B92" s="43">
        <v>43369</v>
      </c>
    </row>
    <row r="94" spans="1:10">
      <c r="A94" s="44" t="s">
        <v>1</v>
      </c>
      <c r="B94" s="75" t="s">
        <v>17</v>
      </c>
    </row>
    <row r="95" spans="1:10">
      <c r="A95" s="44" t="s">
        <v>3</v>
      </c>
      <c r="B95" s="77" t="s">
        <v>8</v>
      </c>
      <c r="C95" s="77" t="s">
        <v>7</v>
      </c>
      <c r="D95" s="77" t="s">
        <v>6</v>
      </c>
      <c r="E95" s="77" t="s">
        <v>10</v>
      </c>
      <c r="F95" s="77" t="s">
        <v>13</v>
      </c>
      <c r="G95" s="77" t="s">
        <v>15</v>
      </c>
    </row>
    <row r="96" spans="1:10">
      <c r="A96" s="44" t="s">
        <v>4</v>
      </c>
      <c r="B96" s="46">
        <v>119800</v>
      </c>
      <c r="C96" s="46">
        <v>38160</v>
      </c>
      <c r="D96" s="46">
        <v>4990</v>
      </c>
      <c r="E96" s="46">
        <f>B96+C96+D96</f>
        <v>162950</v>
      </c>
      <c r="F96" s="75" t="s">
        <v>14</v>
      </c>
      <c r="G96" s="124">
        <v>9</v>
      </c>
      <c r="J96" s="9"/>
    </row>
    <row r="97" spans="1:11">
      <c r="A97" s="44" t="s">
        <v>5</v>
      </c>
      <c r="B97" s="46">
        <v>162900</v>
      </c>
      <c r="C97" s="46">
        <v>46350</v>
      </c>
      <c r="D97" s="46">
        <v>6500</v>
      </c>
      <c r="E97" s="46">
        <f>B97+C97+D97</f>
        <v>215750</v>
      </c>
      <c r="F97" s="75" t="s">
        <v>14</v>
      </c>
      <c r="G97" s="124"/>
      <c r="J97" s="10"/>
    </row>
    <row r="98" spans="1:11">
      <c r="J98" s="12"/>
      <c r="K98" s="47"/>
    </row>
    <row r="99" spans="1:11">
      <c r="A99" s="44" t="s">
        <v>1</v>
      </c>
      <c r="B99" s="75" t="s">
        <v>27</v>
      </c>
      <c r="J99" s="14"/>
      <c r="K99" s="47"/>
    </row>
    <row r="100" spans="1:11">
      <c r="A100" s="44" t="s">
        <v>3</v>
      </c>
      <c r="B100" s="77" t="s">
        <v>8</v>
      </c>
      <c r="C100" s="77" t="s">
        <v>7</v>
      </c>
      <c r="D100" s="77" t="s">
        <v>6</v>
      </c>
      <c r="E100" s="77" t="s">
        <v>10</v>
      </c>
      <c r="F100" s="77" t="s">
        <v>13</v>
      </c>
      <c r="G100" s="77" t="s">
        <v>15</v>
      </c>
      <c r="I100" s="57" t="s">
        <v>63</v>
      </c>
      <c r="J100" s="12">
        <f>G96+G101+G106</f>
        <v>33</v>
      </c>
      <c r="K100" s="47"/>
    </row>
    <row r="101" spans="1:11">
      <c r="A101" s="44" t="s">
        <v>4</v>
      </c>
      <c r="B101" s="46">
        <v>106000</v>
      </c>
      <c r="C101" s="46">
        <v>35540</v>
      </c>
      <c r="D101" s="46">
        <v>1497</v>
      </c>
      <c r="E101" s="46">
        <f>B101+C101+D101</f>
        <v>143037</v>
      </c>
      <c r="F101" s="75" t="s">
        <v>14</v>
      </c>
      <c r="G101" s="124">
        <v>19</v>
      </c>
      <c r="I101" s="54" t="s">
        <v>61</v>
      </c>
      <c r="J101" s="55">
        <f>(G96*100/(G96+G101+G106))^2+(G101*100/(G96+G101+G106))^2+(G106*100/(G96+G101+G106))^2</f>
        <v>4288.3379247015619</v>
      </c>
      <c r="K101" s="47"/>
    </row>
    <row r="102" spans="1:11">
      <c r="A102" s="44" t="s">
        <v>5</v>
      </c>
      <c r="B102" s="46">
        <v>236000</v>
      </c>
      <c r="C102" s="46">
        <v>60240</v>
      </c>
      <c r="D102" s="46">
        <v>2360</v>
      </c>
      <c r="E102" s="46">
        <f>B102+C102+D102</f>
        <v>298600</v>
      </c>
      <c r="F102" s="75" t="s">
        <v>14</v>
      </c>
      <c r="G102" s="124"/>
      <c r="J102" s="12"/>
      <c r="K102" s="47"/>
    </row>
    <row r="103" spans="1:11">
      <c r="I103" s="14"/>
      <c r="J103" s="33"/>
      <c r="K103" s="47"/>
    </row>
    <row r="104" spans="1:11">
      <c r="A104" s="44" t="s">
        <v>1</v>
      </c>
      <c r="B104" s="75" t="s">
        <v>29</v>
      </c>
      <c r="I104" s="12"/>
      <c r="J104" s="34"/>
      <c r="K104" s="47"/>
    </row>
    <row r="105" spans="1:11">
      <c r="A105" s="44" t="s">
        <v>3</v>
      </c>
      <c r="B105" s="77" t="s">
        <v>8</v>
      </c>
      <c r="C105" s="77" t="s">
        <v>7</v>
      </c>
      <c r="D105" s="77" t="s">
        <v>6</v>
      </c>
      <c r="E105" s="77" t="s">
        <v>10</v>
      </c>
      <c r="F105" s="77" t="s">
        <v>13</v>
      </c>
      <c r="G105" s="77" t="s">
        <v>15</v>
      </c>
      <c r="I105" s="12"/>
      <c r="J105" s="14"/>
      <c r="K105" s="47"/>
    </row>
    <row r="106" spans="1:11">
      <c r="A106" s="44" t="s">
        <v>4</v>
      </c>
      <c r="B106" s="46">
        <v>50287</v>
      </c>
      <c r="C106" s="46">
        <v>39235</v>
      </c>
      <c r="D106" s="46">
        <v>30000</v>
      </c>
      <c r="E106" s="46">
        <f>B106+C106+D106</f>
        <v>119522</v>
      </c>
      <c r="F106" s="75" t="s">
        <v>14</v>
      </c>
      <c r="G106" s="124">
        <v>5</v>
      </c>
      <c r="I106" s="13"/>
      <c r="J106" s="12"/>
      <c r="K106" s="47"/>
    </row>
    <row r="107" spans="1:11">
      <c r="A107" s="44" t="s">
        <v>5</v>
      </c>
      <c r="B107" s="46">
        <v>100707</v>
      </c>
      <c r="C107" s="46">
        <v>48814</v>
      </c>
      <c r="D107" s="46">
        <v>30000</v>
      </c>
      <c r="E107" s="46">
        <f>B107+C107+D107</f>
        <v>179521</v>
      </c>
      <c r="F107" s="75" t="s">
        <v>14</v>
      </c>
      <c r="G107" s="124"/>
      <c r="J107" s="12"/>
      <c r="K107" s="47"/>
    </row>
    <row r="108" spans="1:11">
      <c r="J108" s="13"/>
      <c r="K108" s="47"/>
    </row>
    <row r="109" spans="1:11">
      <c r="B109" s="78" t="s">
        <v>8</v>
      </c>
      <c r="C109" s="78" t="s">
        <v>7</v>
      </c>
      <c r="D109" s="78" t="s">
        <v>6</v>
      </c>
      <c r="E109" s="78" t="s">
        <v>10</v>
      </c>
      <c r="J109" s="47"/>
      <c r="K109" s="47"/>
    </row>
    <row r="110" spans="1:11">
      <c r="A110" s="44" t="s">
        <v>19</v>
      </c>
      <c r="B110" s="46">
        <f>(((B96+B97)/2*$G$96+(B101+B102)/2*$G$101+(B106+B107)/2*$G$106)/($G$96+$G$101+$G$106))/$B$90</f>
        <v>225.9895333076833</v>
      </c>
      <c r="C110" s="46">
        <f t="shared" ref="C110:D110" si="2">(((C96+C97)/2*$G$96+(C101+C102)/2*$G$101+(C106+C107)/2*$G$106)/($G$96+$G$101+$G$106))/$B$90</f>
        <v>69.676186706451901</v>
      </c>
      <c r="D110" s="46">
        <f t="shared" si="2"/>
        <v>10.995678245168243</v>
      </c>
      <c r="E110" s="46">
        <f>B110+C110+D110</f>
        <v>306.66139825930344</v>
      </c>
    </row>
    <row r="111" spans="1:11">
      <c r="A111" s="114" t="s">
        <v>166</v>
      </c>
      <c r="B111" s="115">
        <f>((B96*G96+B101*G101+B106*G106)/J100)/B90</f>
        <v>154.25246281897623</v>
      </c>
    </row>
    <row r="114" spans="1:11">
      <c r="A114" s="42" t="s">
        <v>9</v>
      </c>
      <c r="B114" s="42" t="s">
        <v>30</v>
      </c>
    </row>
    <row r="115" spans="1:11">
      <c r="A115" s="42" t="s">
        <v>18</v>
      </c>
      <c r="B115" s="42">
        <v>288.88</v>
      </c>
    </row>
    <row r="116" spans="1:11">
      <c r="A116" s="42" t="s">
        <v>11</v>
      </c>
      <c r="B116" s="43">
        <v>43365</v>
      </c>
    </row>
    <row r="117" spans="1:11">
      <c r="A117" s="42" t="s">
        <v>12</v>
      </c>
      <c r="B117" s="43">
        <v>43369</v>
      </c>
    </row>
    <row r="119" spans="1:11">
      <c r="A119" s="44" t="s">
        <v>1</v>
      </c>
      <c r="B119" s="75" t="s">
        <v>29</v>
      </c>
    </row>
    <row r="120" spans="1:11">
      <c r="A120" s="44" t="s">
        <v>3</v>
      </c>
      <c r="B120" s="77" t="s">
        <v>8</v>
      </c>
      <c r="C120" s="77" t="s">
        <v>7</v>
      </c>
      <c r="D120" s="77" t="s">
        <v>6</v>
      </c>
      <c r="E120" s="77" t="s">
        <v>10</v>
      </c>
      <c r="F120" s="77" t="s">
        <v>13</v>
      </c>
      <c r="G120" s="77" t="s">
        <v>15</v>
      </c>
    </row>
    <row r="121" spans="1:11">
      <c r="A121" s="44" t="s">
        <v>4</v>
      </c>
      <c r="B121" s="46">
        <v>58689</v>
      </c>
      <c r="C121" s="46">
        <v>40831</v>
      </c>
      <c r="D121" s="46">
        <v>30000</v>
      </c>
      <c r="E121" s="46">
        <f>B121+C121+D121</f>
        <v>129520</v>
      </c>
      <c r="F121" s="75" t="s">
        <v>14</v>
      </c>
      <c r="G121" s="124">
        <v>2</v>
      </c>
      <c r="J121" s="9"/>
    </row>
    <row r="122" spans="1:11">
      <c r="A122" s="44" t="s">
        <v>5</v>
      </c>
      <c r="B122" s="46">
        <v>67092</v>
      </c>
      <c r="C122" s="46">
        <v>42427</v>
      </c>
      <c r="D122" s="46">
        <v>30000</v>
      </c>
      <c r="E122" s="46">
        <f>B122+C122+D122</f>
        <v>139519</v>
      </c>
      <c r="F122" s="75" t="s">
        <v>14</v>
      </c>
      <c r="G122" s="124"/>
      <c r="J122" s="10"/>
    </row>
    <row r="123" spans="1:11">
      <c r="J123" s="12"/>
      <c r="K123" s="47"/>
    </row>
    <row r="124" spans="1:11">
      <c r="A124" s="44" t="s">
        <v>1</v>
      </c>
      <c r="B124" s="75" t="s">
        <v>17</v>
      </c>
      <c r="J124" s="13"/>
      <c r="K124" s="47"/>
    </row>
    <row r="125" spans="1:11">
      <c r="A125" s="44" t="s">
        <v>3</v>
      </c>
      <c r="B125" s="77" t="s">
        <v>8</v>
      </c>
      <c r="C125" s="77" t="s">
        <v>7</v>
      </c>
      <c r="D125" s="77" t="s">
        <v>6</v>
      </c>
      <c r="E125" s="77" t="s">
        <v>10</v>
      </c>
      <c r="F125" s="77" t="s">
        <v>13</v>
      </c>
      <c r="G125" s="77" t="s">
        <v>15</v>
      </c>
      <c r="I125" s="57" t="s">
        <v>63</v>
      </c>
      <c r="J125" s="12">
        <f>G121+G126+G131</f>
        <v>16</v>
      </c>
      <c r="K125" s="47"/>
    </row>
    <row r="126" spans="1:11">
      <c r="A126" s="44" t="s">
        <v>4</v>
      </c>
      <c r="B126" s="46">
        <v>132400</v>
      </c>
      <c r="C126" s="46">
        <v>40560</v>
      </c>
      <c r="D126" s="46">
        <v>5432</v>
      </c>
      <c r="E126" s="46">
        <f>B126+C126+D126</f>
        <v>178392</v>
      </c>
      <c r="F126" s="75" t="s">
        <v>14</v>
      </c>
      <c r="G126" s="124">
        <v>2</v>
      </c>
      <c r="I126" s="54" t="s">
        <v>61</v>
      </c>
      <c r="J126" s="55">
        <f>(G121*100/(G121+G126+G131))^2+(G126*100/(G121+G126+G131))^2+(G131*100/(G121+G126+G131))^2</f>
        <v>5937.5</v>
      </c>
      <c r="K126" s="47"/>
    </row>
    <row r="127" spans="1:11">
      <c r="A127" s="44" t="s">
        <v>5</v>
      </c>
      <c r="B127" s="46">
        <v>151100</v>
      </c>
      <c r="C127" s="46">
        <v>44110</v>
      </c>
      <c r="D127" s="46">
        <v>6087</v>
      </c>
      <c r="E127" s="46">
        <f>B127+C127+D127</f>
        <v>201297</v>
      </c>
      <c r="F127" s="75" t="s">
        <v>14</v>
      </c>
      <c r="G127" s="124"/>
      <c r="J127" s="12"/>
      <c r="K127" s="47"/>
    </row>
    <row r="128" spans="1:11">
      <c r="I128" s="14"/>
      <c r="J128" s="13"/>
      <c r="K128" s="47"/>
    </row>
    <row r="129" spans="1:11">
      <c r="A129" s="44" t="s">
        <v>1</v>
      </c>
      <c r="B129" s="75" t="s">
        <v>27</v>
      </c>
      <c r="I129" s="12"/>
      <c r="J129" s="13"/>
      <c r="K129" s="47"/>
    </row>
    <row r="130" spans="1:11">
      <c r="A130" s="44" t="s">
        <v>3</v>
      </c>
      <c r="B130" s="77" t="s">
        <v>8</v>
      </c>
      <c r="C130" s="77" t="s">
        <v>7</v>
      </c>
      <c r="D130" s="77" t="s">
        <v>6</v>
      </c>
      <c r="E130" s="77" t="s">
        <v>10</v>
      </c>
      <c r="F130" s="77" t="s">
        <v>13</v>
      </c>
      <c r="G130" s="77" t="s">
        <v>15</v>
      </c>
      <c r="I130" s="12"/>
      <c r="J130" s="14"/>
      <c r="K130" s="47"/>
    </row>
    <row r="131" spans="1:11">
      <c r="A131" s="44" t="s">
        <v>4</v>
      </c>
      <c r="B131" s="46">
        <v>142700</v>
      </c>
      <c r="C131" s="46">
        <v>42510</v>
      </c>
      <c r="D131" s="46">
        <v>3541</v>
      </c>
      <c r="E131" s="46">
        <f>B131+C131+D131</f>
        <v>188751</v>
      </c>
      <c r="F131" s="75" t="s">
        <v>14</v>
      </c>
      <c r="G131" s="124">
        <v>12</v>
      </c>
      <c r="I131" s="13"/>
      <c r="J131" s="14"/>
      <c r="K131" s="47"/>
    </row>
    <row r="132" spans="1:11">
      <c r="A132" s="44" t="s">
        <v>5</v>
      </c>
      <c r="B132" s="46">
        <v>228200</v>
      </c>
      <c r="C132" s="46">
        <v>58760</v>
      </c>
      <c r="D132" s="46">
        <v>5188</v>
      </c>
      <c r="E132" s="46">
        <f>B132+C132+D132</f>
        <v>292148</v>
      </c>
      <c r="F132" s="75" t="s">
        <v>14</v>
      </c>
      <c r="G132" s="124"/>
      <c r="I132" s="12"/>
      <c r="J132" s="12"/>
      <c r="K132" s="47"/>
    </row>
    <row r="133" spans="1:11">
      <c r="I133" s="11"/>
      <c r="J133" s="12"/>
      <c r="K133" s="47"/>
    </row>
    <row r="134" spans="1:11">
      <c r="B134" s="78" t="s">
        <v>8</v>
      </c>
      <c r="C134" s="78" t="s">
        <v>7</v>
      </c>
      <c r="D134" s="78" t="s">
        <v>6</v>
      </c>
      <c r="E134" s="78" t="s">
        <v>10</v>
      </c>
      <c r="J134" s="13"/>
      <c r="K134" s="47"/>
    </row>
    <row r="135" spans="1:11">
      <c r="A135" s="44" t="s">
        <v>19</v>
      </c>
      <c r="B135" s="46">
        <f>(((B121+B122)/2*$G$121+(B126+B127)/2*$G$126+(B131+B132)/2*$G$131)/($G$121+$G$126+$G$131))/$B$115</f>
        <v>570.02064005815566</v>
      </c>
      <c r="C135" s="46">
        <f t="shared" ref="C135:D135" si="3">(((C121+C122)/2*$G$121+(C126+C127)/2*$G$126+(C131+C132)/2*$G$131)/($G$121+$G$126+$G$131))/$B$115</f>
        <v>167.79198975353088</v>
      </c>
      <c r="D135" s="46">
        <f t="shared" si="3"/>
        <v>26.804598795347548</v>
      </c>
      <c r="E135" s="46">
        <f>B135+C135+D135</f>
        <v>764.61722860703412</v>
      </c>
    </row>
    <row r="136" spans="1:11">
      <c r="A136" s="114" t="s">
        <v>166</v>
      </c>
      <c r="B136" s="115">
        <f>((B121*G121+B126*G126+B131*G131)/J125)/B115</f>
        <v>453.16783785654945</v>
      </c>
    </row>
    <row r="138" spans="1:11" ht="30">
      <c r="A138" s="77" t="s">
        <v>62</v>
      </c>
      <c r="B138" s="67" t="s">
        <v>78</v>
      </c>
      <c r="C138" s="67" t="s">
        <v>80</v>
      </c>
      <c r="D138" s="44" t="s">
        <v>81</v>
      </c>
      <c r="E138" s="67" t="s">
        <v>79</v>
      </c>
    </row>
    <row r="139" spans="1:11">
      <c r="A139" s="56">
        <f>(J16*(G11+G16+G21)+J41*(G36+G41)+J61*(G56+G61)+J81*(G76+G81)+J101*(G96+G101+G106)+J126*(G121+G126+G131))/(G11+G16+G21+G36+G41+G56+G61+G76+G81+G96+G101+G106+G121+G126+G131)</f>
        <v>5825.8605877102991</v>
      </c>
      <c r="B139" s="63">
        <f>(B25*$J$15+B45*$J$40+B65*$J$60+B85*$J$80+B110*$J$100+B135*$J$125)/($J$15+$J$40+$J$60+$J$80+$J$100+$J$125)</f>
        <v>680.21520353743188</v>
      </c>
      <c r="C139" s="63">
        <f>(C25*$J$15+C45*$J$40+C65*$J$60+C85*$J$80+C110*$J$100+C135*$J$125)/($J$15+$J$40+$J$60+$J$80+$J$100+$J$125)</f>
        <v>178.75729151474454</v>
      </c>
      <c r="D139" s="63">
        <f>(D25*$J$15+D45*$J$40+D65*$J$60+D85*$J$80+D110*$J$100+D135*$J$125)/($J$15+$J$40+$J$60+$J$80+$J$100+$J$125)</f>
        <v>20.062136566525528</v>
      </c>
      <c r="E139" s="63">
        <f>B139+C139+D139</f>
        <v>879.03463161870195</v>
      </c>
    </row>
    <row r="141" spans="1:11">
      <c r="A141" s="44" t="s">
        <v>83</v>
      </c>
      <c r="B141" s="68">
        <f>C139/E139</f>
        <v>0.20335636968656307</v>
      </c>
    </row>
    <row r="146" spans="7:13">
      <c r="G146" s="70" t="s">
        <v>84</v>
      </c>
      <c r="H146" s="70"/>
      <c r="I146" s="70"/>
      <c r="J146" s="70"/>
      <c r="K146" s="70"/>
      <c r="L146" s="70"/>
      <c r="M146" s="70"/>
    </row>
  </sheetData>
  <mergeCells count="15">
    <mergeCell ref="G56:G57"/>
    <mergeCell ref="G11:G12"/>
    <mergeCell ref="G16:G17"/>
    <mergeCell ref="G21:G22"/>
    <mergeCell ref="G36:G37"/>
    <mergeCell ref="G41:G42"/>
    <mergeCell ref="G121:G122"/>
    <mergeCell ref="G126:G127"/>
    <mergeCell ref="G131:G132"/>
    <mergeCell ref="G61:G62"/>
    <mergeCell ref="G76:G77"/>
    <mergeCell ref="G81:G82"/>
    <mergeCell ref="G96:G97"/>
    <mergeCell ref="G101:G102"/>
    <mergeCell ref="G106:G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L123"/>
  <sheetViews>
    <sheetView topLeftCell="A99" workbookViewId="0">
      <selection activeCell="E124" sqref="E124"/>
    </sheetView>
  </sheetViews>
  <sheetFormatPr baseColWidth="10" defaultRowHeight="15"/>
  <cols>
    <col min="1" max="1" width="19.42578125" style="42" bestFit="1" customWidth="1"/>
    <col min="2" max="6" width="11.42578125" style="42"/>
    <col min="7" max="7" width="16.140625" style="42" bestFit="1" customWidth="1"/>
    <col min="8" max="16384" width="11.42578125" style="42"/>
  </cols>
  <sheetData>
    <row r="4" spans="1:12">
      <c r="A4" s="42" t="s">
        <v>9</v>
      </c>
      <c r="B4" s="42" t="s">
        <v>85</v>
      </c>
    </row>
    <row r="5" spans="1:12">
      <c r="A5" s="42" t="s">
        <v>18</v>
      </c>
      <c r="B5" s="42">
        <v>572.29</v>
      </c>
    </row>
    <row r="6" spans="1:12">
      <c r="A6" s="42" t="s">
        <v>11</v>
      </c>
      <c r="B6" s="43">
        <v>43413</v>
      </c>
    </row>
    <row r="7" spans="1:12">
      <c r="A7" s="42" t="s">
        <v>12</v>
      </c>
      <c r="B7" s="43">
        <v>43432</v>
      </c>
    </row>
    <row r="9" spans="1:12">
      <c r="A9" s="44" t="s">
        <v>1</v>
      </c>
      <c r="B9" s="75" t="s">
        <v>86</v>
      </c>
    </row>
    <row r="10" spans="1:12">
      <c r="A10" s="44" t="s">
        <v>3</v>
      </c>
      <c r="B10" s="77" t="s">
        <v>8</v>
      </c>
      <c r="C10" s="77" t="s">
        <v>7</v>
      </c>
      <c r="D10" s="77" t="s">
        <v>6</v>
      </c>
      <c r="E10" s="77" t="s">
        <v>10</v>
      </c>
      <c r="F10" s="77" t="s">
        <v>13</v>
      </c>
      <c r="G10" s="77" t="s">
        <v>15</v>
      </c>
      <c r="I10" s="9"/>
      <c r="J10" s="9"/>
    </row>
    <row r="11" spans="1:12">
      <c r="A11" s="44" t="s">
        <v>4</v>
      </c>
      <c r="B11" s="46">
        <v>570800</v>
      </c>
      <c r="C11" s="46">
        <v>157800</v>
      </c>
      <c r="D11" s="46">
        <v>32308</v>
      </c>
      <c r="E11" s="46">
        <f>B11+C11+D11</f>
        <v>760908</v>
      </c>
      <c r="F11" s="75" t="s">
        <v>14</v>
      </c>
      <c r="G11" s="124">
        <v>29</v>
      </c>
      <c r="I11" s="12"/>
      <c r="J11" s="12"/>
      <c r="K11" s="47"/>
    </row>
    <row r="12" spans="1:12">
      <c r="A12" s="44" t="s">
        <v>5</v>
      </c>
      <c r="B12" s="46">
        <v>1267300</v>
      </c>
      <c r="C12" s="46">
        <v>161700</v>
      </c>
      <c r="D12" s="46">
        <v>61871</v>
      </c>
      <c r="E12" s="46">
        <f>B12+C12+D12</f>
        <v>1490871</v>
      </c>
      <c r="F12" s="75" t="s">
        <v>14</v>
      </c>
      <c r="G12" s="124"/>
      <c r="I12" s="12"/>
      <c r="J12" s="12"/>
      <c r="K12" s="47"/>
    </row>
    <row r="13" spans="1:12">
      <c r="I13" s="13"/>
      <c r="J13" s="13"/>
      <c r="K13" s="2"/>
    </row>
    <row r="14" spans="1:12">
      <c r="A14" s="44" t="s">
        <v>1</v>
      </c>
      <c r="B14" s="75"/>
      <c r="I14" s="47"/>
      <c r="J14" s="14"/>
      <c r="K14" s="2"/>
    </row>
    <row r="15" spans="1:12">
      <c r="A15" s="44" t="s">
        <v>3</v>
      </c>
      <c r="B15" s="77" t="s">
        <v>8</v>
      </c>
      <c r="C15" s="77" t="s">
        <v>7</v>
      </c>
      <c r="D15" s="77" t="s">
        <v>6</v>
      </c>
      <c r="E15" s="77" t="s">
        <v>10</v>
      </c>
      <c r="F15" s="77" t="s">
        <v>13</v>
      </c>
      <c r="G15" s="77" t="s">
        <v>15</v>
      </c>
      <c r="I15" s="57" t="s">
        <v>63</v>
      </c>
      <c r="J15" s="12">
        <f>G11+G16+G21</f>
        <v>29</v>
      </c>
      <c r="K15" s="47"/>
    </row>
    <row r="16" spans="1:12">
      <c r="A16" s="44" t="s">
        <v>4</v>
      </c>
      <c r="B16" s="46"/>
      <c r="C16" s="46"/>
      <c r="D16" s="46"/>
      <c r="E16" s="46">
        <f>B16+C16+D16</f>
        <v>0</v>
      </c>
      <c r="F16" s="75" t="s">
        <v>14</v>
      </c>
      <c r="G16" s="124"/>
      <c r="I16" s="54" t="s">
        <v>61</v>
      </c>
      <c r="J16" s="12">
        <f>(G11*100/(G11+G16+G21))^2+(G16*100/(G11+G16+G21))^2+(G21*100/(G11+G16+G21))^2</f>
        <v>10000</v>
      </c>
      <c r="K16" s="47"/>
      <c r="L16" s="9"/>
    </row>
    <row r="17" spans="1:12">
      <c r="A17" s="44" t="s">
        <v>5</v>
      </c>
      <c r="B17" s="46"/>
      <c r="C17" s="46"/>
      <c r="D17" s="46"/>
      <c r="E17" s="46">
        <f>B17+C17+D17</f>
        <v>0</v>
      </c>
      <c r="F17" s="75" t="s">
        <v>14</v>
      </c>
      <c r="G17" s="124"/>
      <c r="I17" s="47"/>
      <c r="J17" s="13"/>
      <c r="K17" s="47"/>
      <c r="L17" s="10"/>
    </row>
    <row r="18" spans="1:12">
      <c r="I18" s="9"/>
      <c r="J18" s="14"/>
      <c r="K18" s="47"/>
      <c r="L18" s="47"/>
    </row>
    <row r="19" spans="1:12">
      <c r="A19" s="44" t="s">
        <v>1</v>
      </c>
      <c r="B19" s="75"/>
      <c r="I19" s="10"/>
      <c r="J19" s="12"/>
      <c r="K19" s="47"/>
      <c r="L19" s="47"/>
    </row>
    <row r="20" spans="1:12">
      <c r="A20" s="44" t="s">
        <v>3</v>
      </c>
      <c r="B20" s="77" t="s">
        <v>8</v>
      </c>
      <c r="C20" s="77" t="s">
        <v>7</v>
      </c>
      <c r="D20" s="77" t="s">
        <v>6</v>
      </c>
      <c r="E20" s="77" t="s">
        <v>10</v>
      </c>
      <c r="F20" s="77" t="s">
        <v>13</v>
      </c>
      <c r="G20" s="77" t="s">
        <v>15</v>
      </c>
      <c r="I20" s="12"/>
      <c r="J20" s="12"/>
      <c r="K20" s="47"/>
      <c r="L20" s="47"/>
    </row>
    <row r="21" spans="1:12">
      <c r="A21" s="44" t="s">
        <v>4</v>
      </c>
      <c r="B21" s="46"/>
      <c r="C21" s="46"/>
      <c r="D21" s="46"/>
      <c r="E21" s="46">
        <f>B21+C21+D21</f>
        <v>0</v>
      </c>
      <c r="F21" s="75" t="s">
        <v>14</v>
      </c>
      <c r="G21" s="124"/>
      <c r="I21" s="13"/>
      <c r="J21" s="13"/>
      <c r="K21" s="14"/>
      <c r="L21" s="47"/>
    </row>
    <row r="22" spans="1:12">
      <c r="A22" s="44" t="s">
        <v>5</v>
      </c>
      <c r="B22" s="46"/>
      <c r="C22" s="46"/>
      <c r="D22" s="46"/>
      <c r="E22" s="46">
        <f>B22+C22+D22</f>
        <v>0</v>
      </c>
      <c r="F22" s="75" t="s">
        <v>14</v>
      </c>
      <c r="G22" s="124"/>
      <c r="I22" s="12"/>
      <c r="J22" s="13"/>
      <c r="K22" s="12"/>
      <c r="L22" s="47"/>
    </row>
    <row r="23" spans="1:12">
      <c r="I23" s="13"/>
      <c r="J23" s="12"/>
      <c r="K23" s="47"/>
    </row>
    <row r="24" spans="1:12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>
      <c r="A25" s="44" t="s">
        <v>19</v>
      </c>
      <c r="B25" s="46">
        <f>(((B11+B12)/2*$G$11+(B16+B17)/2*$G$16+(B21+B22)/2*$G$21))/($G$11+$G$16+$G$21)/$B$5</f>
        <v>1605.9165807545128</v>
      </c>
      <c r="C25" s="46">
        <f>(((C11+C12)/2*$G$11+(C16+C17)/2*$G$16+(C21+C22)/2*$G$21)/($G$11+$G$16+$G$21))/$B$5</f>
        <v>279.1416938964511</v>
      </c>
      <c r="D25" s="46">
        <f>(((D11+D12)/2*$G$11+(D16+D17)/2*$G$16+(D21+D22)/2*$G$21)/($G$11+$G$16+$G$21))/$B$5</f>
        <v>82.282584004613057</v>
      </c>
      <c r="E25" s="46">
        <f>B25+C25+D25</f>
        <v>1967.340858655577</v>
      </c>
      <c r="H25" s="61"/>
      <c r="I25" s="61"/>
    </row>
    <row r="29" spans="1:12">
      <c r="A29" s="42" t="s">
        <v>9</v>
      </c>
      <c r="B29" s="42" t="s">
        <v>87</v>
      </c>
    </row>
    <row r="30" spans="1:12">
      <c r="A30" s="42" t="s">
        <v>18</v>
      </c>
      <c r="B30" s="42">
        <v>344.47</v>
      </c>
    </row>
    <row r="31" spans="1:12">
      <c r="A31" s="42" t="s">
        <v>11</v>
      </c>
      <c r="B31" s="43">
        <v>43365</v>
      </c>
    </row>
    <row r="32" spans="1:12">
      <c r="A32" s="42" t="s">
        <v>12</v>
      </c>
      <c r="B32" s="43">
        <v>43369</v>
      </c>
    </row>
    <row r="34" spans="1:12">
      <c r="A34" s="44" t="s">
        <v>1</v>
      </c>
      <c r="B34" s="75" t="s">
        <v>86</v>
      </c>
    </row>
    <row r="35" spans="1:12">
      <c r="A35" s="44" t="s">
        <v>3</v>
      </c>
      <c r="B35" s="77" t="s">
        <v>8</v>
      </c>
      <c r="C35" s="77" t="s">
        <v>7</v>
      </c>
      <c r="D35" s="77" t="s">
        <v>6</v>
      </c>
      <c r="E35" s="77" t="s">
        <v>10</v>
      </c>
      <c r="F35" s="77" t="s">
        <v>13</v>
      </c>
      <c r="G35" s="77" t="s">
        <v>15</v>
      </c>
      <c r="K35" s="9"/>
    </row>
    <row r="36" spans="1:12">
      <c r="A36" s="44" t="s">
        <v>4</v>
      </c>
      <c r="B36" s="46">
        <v>430800</v>
      </c>
      <c r="C36" s="46">
        <v>157200</v>
      </c>
      <c r="D36" s="46">
        <v>26413</v>
      </c>
      <c r="E36" s="46">
        <f>B36+C36+D36</f>
        <v>614413</v>
      </c>
      <c r="F36" s="75" t="s">
        <v>14</v>
      </c>
      <c r="G36" s="124">
        <v>7</v>
      </c>
      <c r="J36" s="9"/>
      <c r="K36" s="14"/>
      <c r="L36" s="47"/>
    </row>
    <row r="37" spans="1:12">
      <c r="A37" s="44" t="s">
        <v>5</v>
      </c>
      <c r="B37" s="46">
        <v>1173900</v>
      </c>
      <c r="C37" s="46">
        <v>157200</v>
      </c>
      <c r="D37" s="46">
        <v>57702</v>
      </c>
      <c r="E37" s="46">
        <f>B37+C37+D37</f>
        <v>1388802</v>
      </c>
      <c r="F37" s="75" t="s">
        <v>14</v>
      </c>
      <c r="G37" s="124"/>
      <c r="J37" s="10"/>
      <c r="K37" s="12"/>
      <c r="L37" s="47"/>
    </row>
    <row r="38" spans="1:12">
      <c r="J38" s="12"/>
      <c r="K38" s="12"/>
      <c r="L38" s="47"/>
    </row>
    <row r="39" spans="1:12">
      <c r="A39" s="44" t="s">
        <v>1</v>
      </c>
      <c r="B39" s="75"/>
      <c r="J39" s="13"/>
      <c r="K39" s="13"/>
      <c r="L39" s="47"/>
    </row>
    <row r="40" spans="1:12">
      <c r="A40" s="44" t="s">
        <v>3</v>
      </c>
      <c r="B40" s="77" t="s">
        <v>8</v>
      </c>
      <c r="C40" s="77" t="s">
        <v>7</v>
      </c>
      <c r="D40" s="77" t="s">
        <v>6</v>
      </c>
      <c r="E40" s="77" t="s">
        <v>10</v>
      </c>
      <c r="F40" s="77" t="s">
        <v>13</v>
      </c>
      <c r="G40" s="77" t="s">
        <v>15</v>
      </c>
      <c r="I40" s="57" t="s">
        <v>63</v>
      </c>
      <c r="J40" s="12">
        <f>G36+G41+G46</f>
        <v>7</v>
      </c>
      <c r="K40" s="13"/>
      <c r="L40" s="47"/>
    </row>
    <row r="41" spans="1:12">
      <c r="A41" s="44" t="s">
        <v>4</v>
      </c>
      <c r="B41" s="46"/>
      <c r="C41" s="46"/>
      <c r="D41" s="46"/>
      <c r="E41" s="46">
        <f>B41+C41+D41</f>
        <v>0</v>
      </c>
      <c r="F41" s="75" t="s">
        <v>14</v>
      </c>
      <c r="G41" s="124"/>
      <c r="I41" s="54" t="s">
        <v>61</v>
      </c>
      <c r="J41" s="55">
        <f>(G36*100/(G36+G41+G46))^2+(G41*100/(G36+G41+G46))^2+(G46*100/(G36+G41+G46))^2</f>
        <v>10000</v>
      </c>
    </row>
    <row r="42" spans="1:12">
      <c r="A42" s="44" t="s">
        <v>5</v>
      </c>
      <c r="B42" s="46"/>
      <c r="C42" s="46"/>
      <c r="D42" s="46"/>
      <c r="E42" s="46">
        <f>B42+C42+D42</f>
        <v>0</v>
      </c>
      <c r="F42" s="75" t="s">
        <v>14</v>
      </c>
      <c r="G42" s="124"/>
      <c r="J42" s="12"/>
    </row>
    <row r="43" spans="1:12">
      <c r="I43" s="14"/>
      <c r="J43" s="13"/>
    </row>
    <row r="44" spans="1:12">
      <c r="B44" s="78" t="s">
        <v>8</v>
      </c>
      <c r="C44" s="78" t="s">
        <v>7</v>
      </c>
      <c r="D44" s="78" t="s">
        <v>6</v>
      </c>
      <c r="E44" s="78" t="s">
        <v>10</v>
      </c>
      <c r="I44" s="12"/>
      <c r="J44" s="47"/>
    </row>
    <row r="45" spans="1:12">
      <c r="A45" s="44" t="s">
        <v>19</v>
      </c>
      <c r="B45" s="46">
        <f>(((B36+B37)/2*$G$36+(B41+B42)/2*$G$41)/($G$36+$G$41))/$B$30</f>
        <v>2329.2304119371788</v>
      </c>
      <c r="C45" s="46">
        <f t="shared" ref="C45:D45" si="0">(((C36+C37)/2*$G$36+(C41+C42)/2*$G$41)/($G$36+$G$41))/$B$30</f>
        <v>456.35323830812547</v>
      </c>
      <c r="D45" s="46">
        <f t="shared" si="0"/>
        <v>122.09336081516531</v>
      </c>
      <c r="E45" s="46">
        <f>B45+C45+D45</f>
        <v>2907.6770110604698</v>
      </c>
      <c r="I45" s="12"/>
      <c r="J45" s="47"/>
    </row>
    <row r="46" spans="1:12">
      <c r="I46" s="13"/>
      <c r="J46" s="47"/>
    </row>
    <row r="47" spans="1:12">
      <c r="I47" s="47"/>
      <c r="J47" s="47"/>
    </row>
    <row r="49" spans="1:12">
      <c r="A49" s="42" t="s">
        <v>9</v>
      </c>
      <c r="B49" s="42" t="s">
        <v>88</v>
      </c>
    </row>
    <row r="50" spans="1:12">
      <c r="A50" s="42" t="s">
        <v>18</v>
      </c>
      <c r="B50" s="42">
        <v>906.71</v>
      </c>
    </row>
    <row r="51" spans="1:12">
      <c r="A51" s="42" t="s">
        <v>11</v>
      </c>
      <c r="B51" s="43">
        <v>43365</v>
      </c>
    </row>
    <row r="52" spans="1:12">
      <c r="A52" s="42" t="s">
        <v>12</v>
      </c>
      <c r="B52" s="43">
        <v>43369</v>
      </c>
    </row>
    <row r="54" spans="1:12">
      <c r="A54" s="44" t="s">
        <v>1</v>
      </c>
      <c r="B54" s="75" t="s">
        <v>89</v>
      </c>
      <c r="K54" s="9"/>
    </row>
    <row r="55" spans="1:12">
      <c r="A55" s="44" t="s">
        <v>3</v>
      </c>
      <c r="B55" s="77" t="s">
        <v>8</v>
      </c>
      <c r="C55" s="77" t="s">
        <v>7</v>
      </c>
      <c r="D55" s="77" t="s">
        <v>6</v>
      </c>
      <c r="E55" s="77" t="s">
        <v>10</v>
      </c>
      <c r="F55" s="77" t="s">
        <v>13</v>
      </c>
      <c r="G55" s="77" t="s">
        <v>15</v>
      </c>
      <c r="I55" s="14"/>
      <c r="J55" s="47"/>
      <c r="K55" s="9"/>
    </row>
    <row r="56" spans="1:12">
      <c r="A56" s="44" t="s">
        <v>4</v>
      </c>
      <c r="B56" s="46">
        <v>585200</v>
      </c>
      <c r="C56" s="46">
        <v>126600</v>
      </c>
      <c r="D56" s="46">
        <v>31304</v>
      </c>
      <c r="E56" s="46">
        <f>B56+C56+D56</f>
        <v>743104</v>
      </c>
      <c r="F56" s="75" t="s">
        <v>14</v>
      </c>
      <c r="G56" s="124">
        <v>3</v>
      </c>
      <c r="I56" s="12"/>
      <c r="J56" s="47"/>
      <c r="K56" s="14"/>
      <c r="L56" s="47"/>
    </row>
    <row r="57" spans="1:12">
      <c r="A57" s="44" t="s">
        <v>5</v>
      </c>
      <c r="B57" s="46">
        <v>585200</v>
      </c>
      <c r="C57" s="46">
        <v>126600</v>
      </c>
      <c r="D57" s="46">
        <v>31304</v>
      </c>
      <c r="E57" s="46">
        <f>B57+C57+D57</f>
        <v>743104</v>
      </c>
      <c r="F57" s="75" t="s">
        <v>14</v>
      </c>
      <c r="G57" s="124"/>
      <c r="I57" s="12"/>
      <c r="J57" s="47"/>
      <c r="K57" s="12"/>
      <c r="L57" s="47"/>
    </row>
    <row r="58" spans="1:12">
      <c r="I58" s="13"/>
      <c r="J58" s="47"/>
      <c r="K58" s="12"/>
      <c r="L58" s="47"/>
    </row>
    <row r="59" spans="1:12">
      <c r="A59" s="44" t="s">
        <v>1</v>
      </c>
      <c r="B59" s="75" t="s">
        <v>86</v>
      </c>
      <c r="I59" s="47"/>
      <c r="J59" s="47"/>
      <c r="K59" s="13"/>
      <c r="L59" s="47"/>
    </row>
    <row r="60" spans="1:12">
      <c r="A60" s="44" t="s">
        <v>3</v>
      </c>
      <c r="B60" s="77" t="s">
        <v>8</v>
      </c>
      <c r="C60" s="77" t="s">
        <v>7</v>
      </c>
      <c r="D60" s="77" t="s">
        <v>6</v>
      </c>
      <c r="E60" s="77" t="s">
        <v>10</v>
      </c>
      <c r="F60" s="77" t="s">
        <v>13</v>
      </c>
      <c r="G60" s="77" t="s">
        <v>15</v>
      </c>
      <c r="I60" s="57" t="s">
        <v>63</v>
      </c>
      <c r="J60" s="12">
        <f>G56+G61+G66</f>
        <v>6</v>
      </c>
    </row>
    <row r="61" spans="1:12">
      <c r="A61" s="44" t="s">
        <v>4</v>
      </c>
      <c r="B61" s="46">
        <v>585200</v>
      </c>
      <c r="C61" s="46">
        <v>168700</v>
      </c>
      <c r="D61" s="46">
        <v>33519</v>
      </c>
      <c r="E61" s="46">
        <f>B61+C61+D61</f>
        <v>787419</v>
      </c>
      <c r="F61" s="75" t="s">
        <v>14</v>
      </c>
      <c r="G61" s="124">
        <v>3</v>
      </c>
      <c r="I61" s="54" t="s">
        <v>61</v>
      </c>
      <c r="J61" s="55">
        <f>(G56*100/(G56+G61+G66))^2+(G61*100/(G56+G61+G66))^2+(G66*100/(G56+G61+G66))^2</f>
        <v>5000</v>
      </c>
    </row>
    <row r="62" spans="1:12">
      <c r="A62" s="44" t="s">
        <v>5</v>
      </c>
      <c r="B62" s="46">
        <v>585200</v>
      </c>
      <c r="C62" s="46">
        <v>168700</v>
      </c>
      <c r="D62" s="46">
        <v>33519</v>
      </c>
      <c r="E62" s="46">
        <f>B62+C62+D62</f>
        <v>787419</v>
      </c>
      <c r="F62" s="75" t="s">
        <v>14</v>
      </c>
      <c r="G62" s="124"/>
      <c r="I62" s="12"/>
      <c r="J62" s="47"/>
    </row>
    <row r="63" spans="1:12">
      <c r="I63" s="14"/>
      <c r="J63" s="47"/>
    </row>
    <row r="64" spans="1:12">
      <c r="B64" s="78" t="s">
        <v>8</v>
      </c>
      <c r="C64" s="78" t="s">
        <v>7</v>
      </c>
      <c r="D64" s="78" t="s">
        <v>6</v>
      </c>
      <c r="E64" s="78" t="s">
        <v>10</v>
      </c>
      <c r="I64" s="12"/>
      <c r="J64" s="47"/>
    </row>
    <row r="65" spans="1:12">
      <c r="A65" s="44" t="s">
        <v>19</v>
      </c>
      <c r="B65" s="46">
        <f>(((B56+B57)/2*$G$56+(B61+B62)/2*$G$61)/($G$56+$G$61))/$B$50</f>
        <v>645.41032965336217</v>
      </c>
      <c r="C65" s="46">
        <f t="shared" ref="C65:D65" si="1">(((C56+C57)/2*$G$56+(C61+C62)/2*$G$61)/($G$56+$G$61))/$B$50</f>
        <v>162.84148184094141</v>
      </c>
      <c r="D65" s="46">
        <f t="shared" si="1"/>
        <v>35.746269479767513</v>
      </c>
      <c r="E65" s="46">
        <f>B65+C65+D65</f>
        <v>843.99808097407117</v>
      </c>
      <c r="I65" s="12"/>
      <c r="J65" s="47"/>
    </row>
    <row r="66" spans="1:12">
      <c r="I66" s="13"/>
      <c r="J66" s="47"/>
    </row>
    <row r="69" spans="1:12">
      <c r="A69" s="42" t="s">
        <v>9</v>
      </c>
      <c r="B69" s="42" t="s">
        <v>90</v>
      </c>
    </row>
    <row r="70" spans="1:12">
      <c r="A70" s="42" t="s">
        <v>18</v>
      </c>
      <c r="B70" s="42">
        <v>406.77</v>
      </c>
    </row>
    <row r="71" spans="1:12">
      <c r="A71" s="42" t="s">
        <v>11</v>
      </c>
      <c r="B71" s="43">
        <v>43365</v>
      </c>
    </row>
    <row r="72" spans="1:12">
      <c r="A72" s="42" t="s">
        <v>12</v>
      </c>
      <c r="B72" s="43">
        <v>43369</v>
      </c>
    </row>
    <row r="74" spans="1:12">
      <c r="A74" s="44" t="s">
        <v>1</v>
      </c>
      <c r="B74" s="75" t="s">
        <v>86</v>
      </c>
    </row>
    <row r="75" spans="1:12">
      <c r="A75" s="44" t="s">
        <v>3</v>
      </c>
      <c r="B75" s="77" t="s">
        <v>8</v>
      </c>
      <c r="C75" s="77" t="s">
        <v>7</v>
      </c>
      <c r="D75" s="77" t="s">
        <v>6</v>
      </c>
      <c r="E75" s="77" t="s">
        <v>10</v>
      </c>
      <c r="F75" s="77" t="s">
        <v>13</v>
      </c>
      <c r="G75" s="77" t="s">
        <v>15</v>
      </c>
      <c r="I75" s="9"/>
    </row>
    <row r="76" spans="1:12">
      <c r="A76" s="44" t="s">
        <v>4</v>
      </c>
      <c r="B76" s="46">
        <v>398500</v>
      </c>
      <c r="C76" s="46">
        <v>157200</v>
      </c>
      <c r="D76" s="46">
        <v>25053</v>
      </c>
      <c r="E76" s="46">
        <f>B76+C76+D76</f>
        <v>580753</v>
      </c>
      <c r="F76" s="75" t="s">
        <v>14</v>
      </c>
      <c r="G76" s="124">
        <v>6</v>
      </c>
      <c r="I76" s="10"/>
      <c r="J76" s="9"/>
      <c r="K76" s="14"/>
      <c r="L76" s="47"/>
    </row>
    <row r="77" spans="1:12">
      <c r="A77" s="44" t="s">
        <v>5</v>
      </c>
      <c r="B77" s="46">
        <v>1098600</v>
      </c>
      <c r="C77" s="46">
        <v>157200</v>
      </c>
      <c r="D77" s="46">
        <v>54531</v>
      </c>
      <c r="E77" s="46">
        <f>B77+C77+D77</f>
        <v>1310331</v>
      </c>
      <c r="F77" s="75" t="s">
        <v>14</v>
      </c>
      <c r="G77" s="124"/>
      <c r="I77" s="12"/>
      <c r="J77" s="12"/>
      <c r="K77" s="12"/>
      <c r="L77" s="47"/>
    </row>
    <row r="78" spans="1:12">
      <c r="I78" s="13"/>
      <c r="J78" s="12"/>
      <c r="K78" s="12"/>
      <c r="L78" s="47"/>
    </row>
    <row r="79" spans="1:12">
      <c r="A79" s="44" t="s">
        <v>1</v>
      </c>
      <c r="B79" s="75"/>
      <c r="I79" s="47"/>
      <c r="J79" s="13"/>
      <c r="K79" s="13"/>
      <c r="L79" s="47"/>
    </row>
    <row r="80" spans="1:12">
      <c r="A80" s="44" t="s">
        <v>3</v>
      </c>
      <c r="B80" s="77" t="s">
        <v>8</v>
      </c>
      <c r="C80" s="77" t="s">
        <v>7</v>
      </c>
      <c r="D80" s="77" t="s">
        <v>6</v>
      </c>
      <c r="E80" s="77" t="s">
        <v>10</v>
      </c>
      <c r="F80" s="77" t="s">
        <v>13</v>
      </c>
      <c r="G80" s="77" t="s">
        <v>15</v>
      </c>
      <c r="I80" s="57" t="s">
        <v>63</v>
      </c>
      <c r="J80" s="12">
        <f>G76+G81+G86</f>
        <v>6</v>
      </c>
    </row>
    <row r="81" spans="1:10">
      <c r="A81" s="44" t="s">
        <v>4</v>
      </c>
      <c r="B81" s="46"/>
      <c r="C81" s="46"/>
      <c r="D81" s="46"/>
      <c r="E81" s="46">
        <f>B81+C81+D81</f>
        <v>0</v>
      </c>
      <c r="F81" s="75" t="s">
        <v>14</v>
      </c>
      <c r="G81" s="124"/>
      <c r="I81" s="54" t="s">
        <v>61</v>
      </c>
      <c r="J81" s="55">
        <f>(G76*100/(G76+G81+G86))^2+(G81*100/(G76+G81+G86))^2+(G86*100/(G76+G81+G86))^2</f>
        <v>10000</v>
      </c>
    </row>
    <row r="82" spans="1:10">
      <c r="A82" s="44" t="s">
        <v>5</v>
      </c>
      <c r="B82" s="46"/>
      <c r="C82" s="46"/>
      <c r="D82" s="46"/>
      <c r="E82" s="46">
        <f>B82+C82+D82</f>
        <v>0</v>
      </c>
      <c r="F82" s="75" t="s">
        <v>14</v>
      </c>
      <c r="G82" s="124"/>
      <c r="I82" s="12"/>
      <c r="J82" s="47"/>
    </row>
    <row r="83" spans="1:10">
      <c r="I83" s="9"/>
      <c r="J83" s="47"/>
    </row>
    <row r="84" spans="1:10">
      <c r="A84" s="44" t="s">
        <v>1</v>
      </c>
      <c r="B84" s="75"/>
      <c r="I84" s="10"/>
    </row>
    <row r="85" spans="1:10">
      <c r="A85" s="44" t="s">
        <v>3</v>
      </c>
      <c r="B85" s="77" t="s">
        <v>8</v>
      </c>
      <c r="C85" s="77" t="s">
        <v>7</v>
      </c>
      <c r="D85" s="77" t="s">
        <v>6</v>
      </c>
      <c r="E85" s="77" t="s">
        <v>10</v>
      </c>
      <c r="F85" s="77" t="s">
        <v>13</v>
      </c>
      <c r="G85" s="77" t="s">
        <v>15</v>
      </c>
      <c r="I85" s="12"/>
    </row>
    <row r="86" spans="1:10">
      <c r="A86" s="44" t="s">
        <v>4</v>
      </c>
      <c r="B86" s="46"/>
      <c r="C86" s="46"/>
      <c r="D86" s="46"/>
      <c r="E86" s="46">
        <f>B86+C86+D86</f>
        <v>0</v>
      </c>
      <c r="F86" s="75" t="s">
        <v>14</v>
      </c>
      <c r="G86" s="124"/>
      <c r="I86" s="11"/>
    </row>
    <row r="87" spans="1:10">
      <c r="A87" s="44" t="s">
        <v>5</v>
      </c>
      <c r="B87" s="46"/>
      <c r="C87" s="46"/>
      <c r="D87" s="46"/>
      <c r="E87" s="46">
        <f>B87+C87+D87</f>
        <v>0</v>
      </c>
      <c r="F87" s="75" t="s">
        <v>14</v>
      </c>
      <c r="G87" s="124"/>
    </row>
    <row r="89" spans="1:10">
      <c r="B89" s="78" t="s">
        <v>8</v>
      </c>
      <c r="C89" s="78" t="s">
        <v>7</v>
      </c>
      <c r="D89" s="78" t="s">
        <v>6</v>
      </c>
      <c r="E89" s="78" t="s">
        <v>10</v>
      </c>
    </row>
    <row r="90" spans="1:10">
      <c r="A90" s="44" t="s">
        <v>19</v>
      </c>
      <c r="B90" s="46">
        <f>(((B76+B77)/2*$G$76+(B81+B82)/2*$G$81)/($G$76+$G$81))/$B$70</f>
        <v>1840.2291221083169</v>
      </c>
      <c r="C90" s="46">
        <f t="shared" ref="C90:D90" si="2">(((C76+C77)/2*$G$76+(C81+C82)/2*$G$81)/($G$76+$G$81))/$B$70</f>
        <v>386.45917840548714</v>
      </c>
      <c r="D90" s="46">
        <f t="shared" si="2"/>
        <v>97.824323327679039</v>
      </c>
      <c r="E90" s="46">
        <f>B90+C90+D90</f>
        <v>2324.5126238414832</v>
      </c>
    </row>
    <row r="94" spans="1:10">
      <c r="A94" s="42" t="s">
        <v>9</v>
      </c>
      <c r="B94" s="42" t="s">
        <v>91</v>
      </c>
    </row>
    <row r="95" spans="1:10">
      <c r="A95" s="42" t="s">
        <v>18</v>
      </c>
      <c r="B95" s="42">
        <v>673.29</v>
      </c>
    </row>
    <row r="96" spans="1:10">
      <c r="A96" s="42" t="s">
        <v>11</v>
      </c>
      <c r="B96" s="43">
        <v>43365</v>
      </c>
    </row>
    <row r="97" spans="1:12">
      <c r="A97" s="42" t="s">
        <v>12</v>
      </c>
      <c r="B97" s="43">
        <v>43369</v>
      </c>
    </row>
    <row r="99" spans="1:12">
      <c r="A99" s="44" t="s">
        <v>1</v>
      </c>
      <c r="B99" s="75" t="s">
        <v>92</v>
      </c>
    </row>
    <row r="100" spans="1:12">
      <c r="A100" s="44" t="s">
        <v>3</v>
      </c>
      <c r="B100" s="77" t="s">
        <v>8</v>
      </c>
      <c r="C100" s="77" t="s">
        <v>7</v>
      </c>
      <c r="D100" s="77" t="s">
        <v>6</v>
      </c>
      <c r="E100" s="77" t="s">
        <v>10</v>
      </c>
      <c r="F100" s="77" t="s">
        <v>13</v>
      </c>
      <c r="G100" s="77" t="s">
        <v>15</v>
      </c>
    </row>
    <row r="101" spans="1:12">
      <c r="A101" s="44" t="s">
        <v>4</v>
      </c>
      <c r="B101" s="46">
        <v>466700</v>
      </c>
      <c r="C101" s="46">
        <v>161600</v>
      </c>
      <c r="D101" s="46">
        <v>28156</v>
      </c>
      <c r="E101" s="46">
        <f>B101+C101+D101</f>
        <v>656456</v>
      </c>
      <c r="F101" s="75" t="s">
        <v>14</v>
      </c>
      <c r="G101" s="124">
        <v>20</v>
      </c>
      <c r="J101" s="9"/>
      <c r="K101" s="14"/>
      <c r="L101" s="47"/>
    </row>
    <row r="102" spans="1:12">
      <c r="A102" s="44" t="s">
        <v>5</v>
      </c>
      <c r="B102" s="46">
        <v>1051900</v>
      </c>
      <c r="C102" s="46">
        <v>157100</v>
      </c>
      <c r="D102" s="46">
        <v>53559</v>
      </c>
      <c r="E102" s="46">
        <f>B102+C102+D102</f>
        <v>1262559</v>
      </c>
      <c r="F102" s="75" t="s">
        <v>14</v>
      </c>
      <c r="G102" s="124"/>
      <c r="J102" s="10"/>
      <c r="K102" s="12"/>
      <c r="L102" s="47"/>
    </row>
    <row r="103" spans="1:12">
      <c r="J103" s="12"/>
      <c r="K103" s="12"/>
      <c r="L103" s="47"/>
    </row>
    <row r="104" spans="1:12">
      <c r="A104" s="44" t="s">
        <v>1</v>
      </c>
      <c r="B104" s="75"/>
      <c r="J104" s="14"/>
      <c r="K104" s="13"/>
      <c r="L104" s="47"/>
    </row>
    <row r="105" spans="1:12">
      <c r="A105" s="44" t="s">
        <v>3</v>
      </c>
      <c r="B105" s="77" t="s">
        <v>8</v>
      </c>
      <c r="C105" s="77" t="s">
        <v>7</v>
      </c>
      <c r="D105" s="77" t="s">
        <v>6</v>
      </c>
      <c r="E105" s="77" t="s">
        <v>10</v>
      </c>
      <c r="F105" s="77" t="s">
        <v>13</v>
      </c>
      <c r="G105" s="77" t="s">
        <v>15</v>
      </c>
      <c r="I105" s="57" t="s">
        <v>63</v>
      </c>
      <c r="J105" s="12">
        <f>G101+G106+G111</f>
        <v>20</v>
      </c>
      <c r="K105" s="47"/>
    </row>
    <row r="106" spans="1:12">
      <c r="A106" s="44" t="s">
        <v>4</v>
      </c>
      <c r="B106" s="46"/>
      <c r="C106" s="46"/>
      <c r="D106" s="46"/>
      <c r="E106" s="46">
        <f>B106+C106+D106</f>
        <v>0</v>
      </c>
      <c r="F106" s="75" t="s">
        <v>14</v>
      </c>
      <c r="G106" s="124"/>
      <c r="I106" s="54" t="s">
        <v>61</v>
      </c>
      <c r="J106" s="55">
        <f>(G101*100/(G101+G106+G111))^2+(G106*100/(G101+G106+G111))^2+(G111*100/(G101+G106+G111))^2</f>
        <v>10000</v>
      </c>
      <c r="K106" s="47"/>
    </row>
    <row r="107" spans="1:12">
      <c r="A107" s="44" t="s">
        <v>5</v>
      </c>
      <c r="B107" s="46"/>
      <c r="C107" s="46"/>
      <c r="D107" s="46"/>
      <c r="E107" s="46">
        <f>B107+C107+D107</f>
        <v>0</v>
      </c>
      <c r="F107" s="75" t="s">
        <v>14</v>
      </c>
      <c r="G107" s="124"/>
      <c r="J107" s="12"/>
      <c r="K107" s="47"/>
    </row>
    <row r="108" spans="1:12">
      <c r="I108" s="14"/>
      <c r="J108" s="33"/>
      <c r="K108" s="47"/>
    </row>
    <row r="109" spans="1:12">
      <c r="A109" s="44" t="s">
        <v>1</v>
      </c>
      <c r="B109" s="75"/>
      <c r="I109" s="12"/>
      <c r="J109" s="34"/>
      <c r="K109" s="47"/>
    </row>
    <row r="110" spans="1:12">
      <c r="A110" s="44" t="s">
        <v>3</v>
      </c>
      <c r="B110" s="77" t="s">
        <v>8</v>
      </c>
      <c r="C110" s="77" t="s">
        <v>7</v>
      </c>
      <c r="D110" s="77" t="s">
        <v>6</v>
      </c>
      <c r="E110" s="77" t="s">
        <v>10</v>
      </c>
      <c r="F110" s="77" t="s">
        <v>13</v>
      </c>
      <c r="G110" s="77" t="s">
        <v>15</v>
      </c>
      <c r="I110" s="12"/>
      <c r="J110" s="14"/>
      <c r="K110" s="47"/>
    </row>
    <row r="111" spans="1:12">
      <c r="A111" s="44" t="s">
        <v>4</v>
      </c>
      <c r="B111" s="46"/>
      <c r="C111" s="46"/>
      <c r="D111" s="46"/>
      <c r="E111" s="46">
        <f>B111+C111+D111</f>
        <v>0</v>
      </c>
      <c r="F111" s="75" t="s">
        <v>14</v>
      </c>
      <c r="G111" s="124"/>
      <c r="I111" s="13"/>
      <c r="J111" s="12"/>
      <c r="K111" s="47"/>
    </row>
    <row r="112" spans="1:12">
      <c r="A112" s="44" t="s">
        <v>5</v>
      </c>
      <c r="B112" s="46"/>
      <c r="C112" s="46"/>
      <c r="D112" s="46"/>
      <c r="E112" s="46">
        <f>B112+C112+D112</f>
        <v>0</v>
      </c>
      <c r="F112" s="75" t="s">
        <v>14</v>
      </c>
      <c r="G112" s="124"/>
      <c r="J112" s="12"/>
      <c r="K112" s="47"/>
    </row>
    <row r="113" spans="1:11">
      <c r="J113" s="13"/>
      <c r="K113" s="47"/>
    </row>
    <row r="114" spans="1:11">
      <c r="B114" s="78" t="s">
        <v>8</v>
      </c>
      <c r="C114" s="78" t="s">
        <v>7</v>
      </c>
      <c r="D114" s="78" t="s">
        <v>6</v>
      </c>
      <c r="E114" s="78" t="s">
        <v>10</v>
      </c>
      <c r="J114" s="47"/>
      <c r="K114" s="47"/>
    </row>
    <row r="115" spans="1:11">
      <c r="A115" s="44" t="s">
        <v>19</v>
      </c>
      <c r="B115" s="46">
        <f>(((B101+B102)/2*$G$101+(B106+B107)/2*$G$106+(B111+B112)/2*$G$111)/($G$101+$G$106+$G$111))/$B$95</f>
        <v>1127.7458450296306</v>
      </c>
      <c r="C115" s="46">
        <f t="shared" ref="C115:D115" si="3">(((C101+C102)/2*$G$101+(C106+C107)/2*$G$106+(C111+C112)/2*$G$111)/($G$101+$G$106+$G$111))/$B$95</f>
        <v>236.67364731393604</v>
      </c>
      <c r="D115" s="46">
        <f t="shared" si="3"/>
        <v>60.683360810349185</v>
      </c>
      <c r="E115" s="46">
        <f>B115+C115+D115</f>
        <v>1425.1028531539157</v>
      </c>
    </row>
    <row r="120" spans="1:11" ht="30">
      <c r="A120" s="77" t="s">
        <v>93</v>
      </c>
      <c r="B120" s="67" t="s">
        <v>78</v>
      </c>
      <c r="C120" s="67" t="s">
        <v>80</v>
      </c>
      <c r="D120" s="44" t="s">
        <v>81</v>
      </c>
      <c r="E120" s="67" t="s">
        <v>79</v>
      </c>
    </row>
    <row r="121" spans="1:11">
      <c r="A121" s="56">
        <f>(J16*(G11+G16+G21)+J41*(G36+G41)+J61*(G56+G61)+J81*(G76+G81)+J106*(G101+G106+G111))/(G11+G16+G21+G36+G41+G56+G61+G76+G81+G101+G106+G111)</f>
        <v>9558.823529411764</v>
      </c>
      <c r="B121" s="63">
        <f>(B25*$J$15+B45*$J$40+B65*$J$60+B90*$J$80+B115*$J$105)/($J$15+$J$40+$J$60+$J$80+$J$105)</f>
        <v>1475.6609902441735</v>
      </c>
      <c r="C121" s="63">
        <f t="shared" ref="C121:D121" si="4">(C25*$J$15+C45*$J$40+C65*$J$60+C90*$J$80+C115*$J$105)/($J$15+$J$40+$J$60+$J$80+$J$105)</f>
        <v>284.1008632192831</v>
      </c>
      <c r="D121" s="63">
        <f t="shared" si="4"/>
        <v>77.293224042523519</v>
      </c>
      <c r="E121" s="63">
        <f>B121+C121+D121</f>
        <v>1837.0550775059801</v>
      </c>
    </row>
    <row r="123" spans="1:11">
      <c r="A123" s="44" t="s">
        <v>83</v>
      </c>
      <c r="B123" s="68">
        <f>C121/E121</f>
        <v>0.15465016084601213</v>
      </c>
    </row>
  </sheetData>
  <mergeCells count="13">
    <mergeCell ref="G56:G57"/>
    <mergeCell ref="G11:G12"/>
    <mergeCell ref="G16:G17"/>
    <mergeCell ref="G21:G22"/>
    <mergeCell ref="G36:G37"/>
    <mergeCell ref="G41:G42"/>
    <mergeCell ref="G111:G112"/>
    <mergeCell ref="G61:G62"/>
    <mergeCell ref="G76:G77"/>
    <mergeCell ref="G81:G82"/>
    <mergeCell ref="G86:G87"/>
    <mergeCell ref="G101:G102"/>
    <mergeCell ref="G106:G10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115"/>
  <sheetViews>
    <sheetView workbookViewId="0">
      <selection activeCell="B15" sqref="B15"/>
    </sheetView>
  </sheetViews>
  <sheetFormatPr baseColWidth="10" defaultRowHeight="15"/>
  <cols>
    <col min="1" max="1" width="11.42578125" style="42"/>
    <col min="2" max="2" width="9.42578125" style="42" bestFit="1" customWidth="1"/>
    <col min="3" max="3" width="11.42578125" style="42" customWidth="1"/>
    <col min="4" max="4" width="13.7109375" style="42" bestFit="1" customWidth="1"/>
    <col min="5" max="8" width="11.42578125" style="42"/>
    <col min="9" max="9" width="16.140625" style="42" customWidth="1"/>
    <col min="10" max="16384" width="11.42578125" style="42"/>
  </cols>
  <sheetData>
    <row r="2" spans="2:15">
      <c r="M2" s="108" t="s">
        <v>163</v>
      </c>
    </row>
    <row r="4" spans="2:15">
      <c r="M4" s="119" t="s">
        <v>66</v>
      </c>
      <c r="N4" s="119" t="s">
        <v>61</v>
      </c>
      <c r="O4" s="120" t="s">
        <v>162</v>
      </c>
    </row>
    <row r="5" spans="2:15">
      <c r="B5" s="45" t="s">
        <v>66</v>
      </c>
      <c r="C5" s="45" t="s">
        <v>61</v>
      </c>
      <c r="M5" s="119"/>
      <c r="N5" s="119"/>
      <c r="O5" s="120"/>
    </row>
    <row r="6" spans="2:15">
      <c r="B6" s="59" t="s">
        <v>70</v>
      </c>
      <c r="C6" s="58">
        <f>(EEUU!A184+'EEUU (2)'!A174)/2</f>
        <v>3283.4833696808732</v>
      </c>
      <c r="M6" s="119"/>
      <c r="N6" s="119"/>
      <c r="O6" s="120"/>
    </row>
    <row r="7" spans="2:15">
      <c r="B7" s="59" t="s">
        <v>69</v>
      </c>
      <c r="C7" s="58">
        <f>(México!A104+'México (2)'!A125)/2</f>
        <v>4057.0215560218294</v>
      </c>
      <c r="M7" s="105" t="s">
        <v>70</v>
      </c>
      <c r="N7" s="109">
        <f t="shared" ref="N7:N16" si="0">C6</f>
        <v>3283.4833696808732</v>
      </c>
      <c r="O7" s="58">
        <f>C25</f>
        <v>566.65301466096798</v>
      </c>
    </row>
    <row r="8" spans="2:15">
      <c r="B8" s="59" t="s">
        <v>68</v>
      </c>
      <c r="C8" s="58">
        <f>(Brasil!A128+'Brasil (2)'!A125)/2</f>
        <v>4782.8763311879084</v>
      </c>
      <c r="M8" s="59" t="s">
        <v>69</v>
      </c>
      <c r="N8" s="58">
        <f t="shared" si="0"/>
        <v>4057.0215560218294</v>
      </c>
      <c r="O8" s="58">
        <f>C22</f>
        <v>395.43100335061104</v>
      </c>
    </row>
    <row r="9" spans="2:15">
      <c r="B9" s="59" t="s">
        <v>158</v>
      </c>
      <c r="C9" s="58">
        <f>(Perú!A130+'Perú (2)'!A130)/2</f>
        <v>4991.3880445795339</v>
      </c>
      <c r="M9" s="59" t="s">
        <v>68</v>
      </c>
      <c r="N9" s="58">
        <f t="shared" si="0"/>
        <v>4782.8763311879084</v>
      </c>
      <c r="O9" s="58">
        <f>C29</f>
        <v>1117.9780735389522</v>
      </c>
    </row>
    <row r="10" spans="2:15">
      <c r="B10" s="59" t="s">
        <v>71</v>
      </c>
      <c r="C10" s="58">
        <f>(España!A124+'España (2)'!A125)/2</f>
        <v>4992.0014124332665</v>
      </c>
      <c r="M10" s="59" t="s">
        <v>158</v>
      </c>
      <c r="N10" s="58">
        <f t="shared" si="0"/>
        <v>4991.3880445795339</v>
      </c>
      <c r="O10" s="58">
        <f>C39</f>
        <v>592.33136849737775</v>
      </c>
    </row>
    <row r="11" spans="2:15">
      <c r="B11" s="59" t="s">
        <v>67</v>
      </c>
      <c r="C11" s="58">
        <f>(Colombia!A144+'Colombia (2)'!A139)/2</f>
        <v>5637.4075527074092</v>
      </c>
      <c r="M11" s="59" t="s">
        <v>71</v>
      </c>
      <c r="N11" s="58">
        <f t="shared" si="0"/>
        <v>4992.0014124332665</v>
      </c>
      <c r="O11" s="58">
        <f>C28</f>
        <v>910.56463672810526</v>
      </c>
    </row>
    <row r="12" spans="2:15">
      <c r="B12" s="59" t="s">
        <v>157</v>
      </c>
      <c r="C12" s="58">
        <f>(Chile!A125+'Chile (2)'!A125)/2</f>
        <v>5640.9563971000644</v>
      </c>
      <c r="M12" s="59" t="s">
        <v>67</v>
      </c>
      <c r="N12" s="58">
        <f t="shared" si="0"/>
        <v>5637.4075527074092</v>
      </c>
      <c r="O12" s="58">
        <f>C26</f>
        <v>625.37291796491354</v>
      </c>
    </row>
    <row r="13" spans="2:15">
      <c r="B13" s="59" t="s">
        <v>155</v>
      </c>
      <c r="C13" s="58">
        <f>(Canadá!A173+'Canadá (2)'!A173)/2</f>
        <v>5706.0853847120979</v>
      </c>
      <c r="M13" s="59" t="s">
        <v>157</v>
      </c>
      <c r="N13" s="58">
        <f t="shared" si="0"/>
        <v>5640.9563971000644</v>
      </c>
      <c r="O13" s="58">
        <f>C40</f>
        <v>598.08322284970973</v>
      </c>
    </row>
    <row r="14" spans="2:15">
      <c r="B14" s="59" t="s">
        <v>156</v>
      </c>
      <c r="C14" s="58">
        <f>(Argentina!A144+'Argentina (2)'!A144)/2</f>
        <v>6372.2502452010658</v>
      </c>
      <c r="M14" s="59" t="s">
        <v>155</v>
      </c>
      <c r="N14" s="58">
        <f t="shared" si="0"/>
        <v>5706.0853847120979</v>
      </c>
      <c r="O14" s="58">
        <f>C27</f>
        <v>708.96217877309812</v>
      </c>
    </row>
    <row r="15" spans="2:15">
      <c r="B15" s="59" t="s">
        <v>159</v>
      </c>
      <c r="C15" s="58">
        <f>(Francia!A121+'Francia (2)'!A121)/2</f>
        <v>9558.823529411764</v>
      </c>
      <c r="M15" s="59" t="s">
        <v>156</v>
      </c>
      <c r="N15" s="58">
        <f t="shared" si="0"/>
        <v>6372.2502452010658</v>
      </c>
      <c r="O15" s="58">
        <f>C21</f>
        <v>378.25293860412023</v>
      </c>
    </row>
    <row r="16" spans="2:15">
      <c r="M16" s="59" t="s">
        <v>159</v>
      </c>
      <c r="N16" s="58">
        <f t="shared" si="0"/>
        <v>9558.823529411764</v>
      </c>
      <c r="O16" s="58">
        <f>C30</f>
        <v>1475.6609902441735</v>
      </c>
    </row>
    <row r="17" spans="2:15" ht="45">
      <c r="M17" s="176" t="s">
        <v>164</v>
      </c>
      <c r="N17" s="177">
        <f>CORREL(N7:N16,O7:O16)</f>
        <v>0.62597837485308949</v>
      </c>
      <c r="O17" s="177"/>
    </row>
    <row r="19" spans="2:15">
      <c r="N19" s="110"/>
    </row>
    <row r="20" spans="2:15" ht="45">
      <c r="B20" s="45" t="s">
        <v>66</v>
      </c>
      <c r="C20" s="67" t="s">
        <v>162</v>
      </c>
    </row>
    <row r="21" spans="2:15">
      <c r="B21" s="59" t="s">
        <v>156</v>
      </c>
      <c r="C21" s="58">
        <f>(Argentina!B144+'Argentina (2)'!B144)/2</f>
        <v>378.25293860412023</v>
      </c>
    </row>
    <row r="22" spans="2:15">
      <c r="B22" s="59" t="s">
        <v>69</v>
      </c>
      <c r="C22" s="58">
        <f>(México!B104+'México (2)'!B125)/2</f>
        <v>395.43100335061104</v>
      </c>
    </row>
    <row r="23" spans="2:15">
      <c r="B23" s="59" t="s">
        <v>158</v>
      </c>
      <c r="C23" s="58">
        <f>(Perú!B130+'Perú (2)'!B130)/2</f>
        <v>405.71949747716775</v>
      </c>
    </row>
    <row r="24" spans="2:15">
      <c r="B24" s="59" t="s">
        <v>157</v>
      </c>
      <c r="C24" s="58">
        <f>(Chile!B125+'Chile (2)'!B125)/2</f>
        <v>532.63533757684502</v>
      </c>
    </row>
    <row r="25" spans="2:15">
      <c r="B25" s="59" t="s">
        <v>70</v>
      </c>
      <c r="C25" s="58">
        <f>(EEUU!B184+'EEUU (2)'!B174)/2</f>
        <v>566.65301466096798</v>
      </c>
    </row>
    <row r="26" spans="2:15">
      <c r="B26" s="59" t="s">
        <v>67</v>
      </c>
      <c r="C26" s="58">
        <f>(Colombia!B144+'Colombia (2)'!B139)/2</f>
        <v>625.37291796491354</v>
      </c>
    </row>
    <row r="27" spans="2:15">
      <c r="B27" s="59" t="s">
        <v>155</v>
      </c>
      <c r="C27" s="58">
        <f>(Canadá!B173+'Canadá (2)'!B173)/2</f>
        <v>708.96217877309812</v>
      </c>
    </row>
    <row r="28" spans="2:15">
      <c r="B28" s="59" t="s">
        <v>71</v>
      </c>
      <c r="C28" s="58">
        <f>(España!B124+'España (2)'!B125)/2</f>
        <v>910.56463672810526</v>
      </c>
    </row>
    <row r="29" spans="2:15">
      <c r="B29" s="59" t="s">
        <v>68</v>
      </c>
      <c r="C29" s="58">
        <f>(Brasil!B128+'Brasil (2)'!B125)/2</f>
        <v>1117.9780735389522</v>
      </c>
    </row>
    <row r="30" spans="2:15">
      <c r="B30" s="59" t="s">
        <v>159</v>
      </c>
      <c r="C30" s="58">
        <f>(Francia!B121+'Francia (2)'!B121)/2</f>
        <v>1475.6609902441735</v>
      </c>
    </row>
    <row r="37" spans="2:3" ht="45">
      <c r="B37" s="45" t="s">
        <v>66</v>
      </c>
      <c r="C37" s="67" t="s">
        <v>161</v>
      </c>
    </row>
    <row r="38" spans="2:3">
      <c r="B38" s="59" t="s">
        <v>156</v>
      </c>
      <c r="C38" s="58">
        <f>(Argentina!E144+'Argentina (2)'!E144)/2</f>
        <v>488.34997915027105</v>
      </c>
    </row>
    <row r="39" spans="2:3">
      <c r="B39" s="59" t="s">
        <v>158</v>
      </c>
      <c r="C39" s="58">
        <f>(Perú!E130+'Perú (2)'!E130)/2</f>
        <v>592.33136849737775</v>
      </c>
    </row>
    <row r="40" spans="2:3">
      <c r="B40" s="59" t="s">
        <v>157</v>
      </c>
      <c r="C40" s="58">
        <f>(Chile!E125+'Chile (2)'!E125)/2</f>
        <v>598.08322284970973</v>
      </c>
    </row>
    <row r="41" spans="2:3">
      <c r="B41" s="59" t="s">
        <v>69</v>
      </c>
      <c r="C41" s="58">
        <f>(México!E104+'México (2)'!E125)/2</f>
        <v>642.32909529044196</v>
      </c>
    </row>
    <row r="42" spans="2:3">
      <c r="B42" s="101" t="s">
        <v>70</v>
      </c>
      <c r="C42" s="102">
        <f>(EEUU!E184+'EEUU (2)'!E174)/2</f>
        <v>680.27846798045744</v>
      </c>
    </row>
    <row r="43" spans="2:3">
      <c r="B43" s="59" t="s">
        <v>67</v>
      </c>
      <c r="C43" s="58">
        <f>(Colombia!E144+'Colombia (2)'!E139)/2</f>
        <v>821.44501571279204</v>
      </c>
    </row>
    <row r="44" spans="2:3">
      <c r="B44" s="59" t="s">
        <v>155</v>
      </c>
      <c r="C44" s="58">
        <f>(Canadá!E173+'Canadá (2)'!E173)/2</f>
        <v>919.80773261414663</v>
      </c>
    </row>
    <row r="45" spans="2:3">
      <c r="B45" s="59" t="s">
        <v>71</v>
      </c>
      <c r="C45" s="58">
        <f>(España!E124+'España (2)'!E125)/2</f>
        <v>1187.5102187618447</v>
      </c>
    </row>
    <row r="46" spans="2:3">
      <c r="B46" s="59" t="s">
        <v>68</v>
      </c>
      <c r="C46" s="58">
        <f>(Brasil!E128+'Brasil (2)'!E125)/2</f>
        <v>1219.1707555263997</v>
      </c>
    </row>
    <row r="47" spans="2:3">
      <c r="B47" s="59" t="s">
        <v>159</v>
      </c>
      <c r="C47" s="58">
        <f>(Francia!E121+'Francia (2)'!E121)/2</f>
        <v>1837.0550775059801</v>
      </c>
    </row>
    <row r="51" spans="2:3" ht="45">
      <c r="B51" s="45" t="s">
        <v>66</v>
      </c>
      <c r="C51" s="67" t="s">
        <v>83</v>
      </c>
    </row>
    <row r="52" spans="2:3">
      <c r="B52" s="59" t="s">
        <v>68</v>
      </c>
      <c r="C52" s="69">
        <f>(Brasil!B130+'Brasil (2)'!B127)/2</f>
        <v>3.9274040435815186E-2</v>
      </c>
    </row>
    <row r="53" spans="2:3">
      <c r="B53" s="59" t="s">
        <v>157</v>
      </c>
      <c r="C53" s="69">
        <f>(Chile!B127+'Chile (2)'!B127)/2</f>
        <v>6.5450125562104167E-2</v>
      </c>
    </row>
    <row r="54" spans="2:3">
      <c r="B54" s="101" t="s">
        <v>70</v>
      </c>
      <c r="C54" s="69">
        <f>(EEUU!B186+'EEUU (2)'!B176)/2</f>
        <v>0.14390116359725624</v>
      </c>
    </row>
    <row r="55" spans="2:3">
      <c r="B55" s="59" t="s">
        <v>156</v>
      </c>
      <c r="C55" s="69">
        <f>(Argentina!B146+'Argentina (2)'!B146)/2</f>
        <v>0.15156591239055869</v>
      </c>
    </row>
    <row r="56" spans="2:3">
      <c r="B56" s="59" t="s">
        <v>159</v>
      </c>
      <c r="C56" s="69">
        <f>(Francia!B123+'Francia (2)'!B123)/2</f>
        <v>0.15465016084601213</v>
      </c>
    </row>
    <row r="57" spans="2:3">
      <c r="B57" s="59" t="s">
        <v>71</v>
      </c>
      <c r="C57" s="69">
        <f>(España!B126+'España (2)'!B127)/2</f>
        <v>0.16590546685781976</v>
      </c>
    </row>
    <row r="58" spans="2:3">
      <c r="B58" s="59" t="s">
        <v>67</v>
      </c>
      <c r="C58" s="69">
        <f>(Colombia!B146+'Colombia (2)'!B141)/2</f>
        <v>0.20586086900751666</v>
      </c>
    </row>
    <row r="59" spans="2:3">
      <c r="B59" s="59" t="s">
        <v>155</v>
      </c>
      <c r="C59" s="69">
        <f>(Canadá!B175+'Canadá (2)'!B175)/2</f>
        <v>0.22443668965141927</v>
      </c>
    </row>
    <row r="60" spans="2:3">
      <c r="B60" s="59" t="s">
        <v>158</v>
      </c>
      <c r="C60" s="69">
        <f>(Perú!B132+'Perú (2)'!B132)/2</f>
        <v>0.24663513814113103</v>
      </c>
    </row>
    <row r="61" spans="2:3">
      <c r="B61" s="59" t="s">
        <v>69</v>
      </c>
      <c r="C61" s="69">
        <f>(México!B106+'México (2)'!B127)/2</f>
        <v>0.31876603952871552</v>
      </c>
    </row>
    <row r="71" spans="2:19">
      <c r="B71" s="135" t="s">
        <v>67</v>
      </c>
      <c r="C71" s="136"/>
      <c r="D71" s="136"/>
      <c r="E71" s="137"/>
    </row>
    <row r="72" spans="2:19">
      <c r="B72" s="119" t="s">
        <v>9</v>
      </c>
      <c r="C72" s="119"/>
      <c r="D72" s="44" t="s">
        <v>18</v>
      </c>
      <c r="E72" s="44" t="s">
        <v>72</v>
      </c>
    </row>
    <row r="73" spans="2:19">
      <c r="B73" s="59" t="str">
        <f>Colombia!B4</f>
        <v>Bogotá - Medellín</v>
      </c>
      <c r="C73" s="59"/>
      <c r="D73" s="60">
        <f>Colombia!B5</f>
        <v>232.9</v>
      </c>
      <c r="E73" s="60">
        <f>(Colombia!B25+'Colombia (2)'!B25)/2</f>
        <v>1034.6346643766997</v>
      </c>
    </row>
    <row r="74" spans="2:19">
      <c r="B74" s="59" t="str">
        <f>Colombia!B29</f>
        <v>Bogotá - Cali</v>
      </c>
      <c r="C74" s="59"/>
      <c r="D74" s="60">
        <f>Colombia!B30</f>
        <v>298.3</v>
      </c>
      <c r="E74" s="60">
        <f>(Colombia!B45+'Colombia (2)'!B45)/2</f>
        <v>763.48608550303572</v>
      </c>
    </row>
    <row r="75" spans="2:19">
      <c r="B75" s="59" t="str">
        <f>Colombia!B119</f>
        <v>Bogotá - Bucaramanga</v>
      </c>
      <c r="C75" s="59"/>
      <c r="D75" s="60">
        <f>Colombia!B120</f>
        <v>288.88</v>
      </c>
      <c r="E75" s="60">
        <f>(Colombia!B140+'Colombia (2)'!B135)/2</f>
        <v>634.11040051232339</v>
      </c>
    </row>
    <row r="76" spans="2:19">
      <c r="B76" s="59" t="str">
        <f>Colombia!B49</f>
        <v>Bogotá - Cúcuta</v>
      </c>
      <c r="C76" s="59"/>
      <c r="D76" s="60">
        <f>Colombia!B50</f>
        <v>399.8</v>
      </c>
      <c r="E76" s="60">
        <f>(Colombia!B65+'Colombia (2)'!B65)/2</f>
        <v>508.64569189356587</v>
      </c>
    </row>
    <row r="77" spans="2:19">
      <c r="B77" s="59" t="str">
        <f>Colombia!B94</f>
        <v>Bogotá - Cartagena</v>
      </c>
      <c r="C77" s="59"/>
      <c r="D77" s="60">
        <f>Colombia!B95</f>
        <v>656.86</v>
      </c>
      <c r="E77" s="60">
        <f>(Colombia!B115+'Colombia (2)'!B110)/2</f>
        <v>244.27208094709542</v>
      </c>
    </row>
    <row r="78" spans="2:19">
      <c r="B78" s="59" t="str">
        <f>Colombia!B69</f>
        <v>Bogotá - Barranquilla</v>
      </c>
      <c r="C78" s="59"/>
      <c r="D78" s="60">
        <f>Colombia!B70</f>
        <v>691.1</v>
      </c>
      <c r="E78" s="60">
        <f>(Colombia!B90+'Colombia (2)'!B85)/2</f>
        <v>216.16284598052795</v>
      </c>
      <c r="P78" s="135" t="s">
        <v>159</v>
      </c>
      <c r="Q78" s="136"/>
      <c r="R78" s="136"/>
      <c r="S78" s="137"/>
    </row>
    <row r="79" spans="2:19">
      <c r="B79" s="134"/>
      <c r="C79" s="134"/>
      <c r="P79" s="138" t="s">
        <v>9</v>
      </c>
      <c r="Q79" s="138"/>
      <c r="R79" s="44" t="s">
        <v>18</v>
      </c>
      <c r="S79" s="44" t="s">
        <v>72</v>
      </c>
    </row>
    <row r="80" spans="2:19">
      <c r="B80" s="134"/>
      <c r="C80" s="134"/>
      <c r="P80" s="65" t="str">
        <f>Francia!B29</f>
        <v>París - Nantes</v>
      </c>
      <c r="Q80" s="66"/>
      <c r="R80" s="60">
        <f>Francia!B30</f>
        <v>344.47</v>
      </c>
      <c r="S80" s="60">
        <f>(Francia!B45+'Francia (2)'!B45)/2</f>
        <v>2329.2304119371788</v>
      </c>
    </row>
    <row r="81" spans="2:19">
      <c r="B81" s="135" t="s">
        <v>68</v>
      </c>
      <c r="C81" s="136"/>
      <c r="D81" s="136"/>
      <c r="E81" s="137"/>
      <c r="P81" s="65" t="str">
        <f>Francia!B69</f>
        <v>París - Lyon</v>
      </c>
      <c r="Q81" s="66"/>
      <c r="R81" s="60">
        <f>Francia!B70</f>
        <v>406.77</v>
      </c>
      <c r="S81" s="60">
        <f>(Francia!B90+'Francia (2)'!B90)/2</f>
        <v>1840.2291221083169</v>
      </c>
    </row>
    <row r="82" spans="2:19">
      <c r="B82" s="138" t="s">
        <v>9</v>
      </c>
      <c r="C82" s="138"/>
      <c r="D82" s="44" t="s">
        <v>18</v>
      </c>
      <c r="E82" s="44" t="s">
        <v>72</v>
      </c>
      <c r="P82" s="106" t="str">
        <f>Francia!B4</f>
        <v>París - Toulouse</v>
      </c>
      <c r="Q82" s="107"/>
      <c r="R82" s="60">
        <f>Francia!B5</f>
        <v>572.29</v>
      </c>
      <c r="S82" s="60">
        <f>(Francia!B25+'Francia (2)'!B25)/2</f>
        <v>1605.9165807545128</v>
      </c>
    </row>
    <row r="83" spans="2:19">
      <c r="B83" s="65" t="str">
        <f>Brasil!B28</f>
        <v>Rio de Janeiro - Sao Paulo</v>
      </c>
      <c r="C83" s="66"/>
      <c r="D83" s="64">
        <f>Brasil!B29</f>
        <v>352.05</v>
      </c>
      <c r="E83" s="60">
        <f>(Brasil!B49+'Brasil (2)'!B49)/2</f>
        <v>1502.3246603782413</v>
      </c>
      <c r="P83" s="106" t="str">
        <f>Francia!B94</f>
        <v>París - Niza</v>
      </c>
      <c r="Q83" s="107"/>
      <c r="R83" s="64">
        <f>Francia!B95</f>
        <v>673.29</v>
      </c>
      <c r="S83" s="60">
        <f>(Francia!B115+'Francia (2)'!B115)/2</f>
        <v>1127.7458450296306</v>
      </c>
    </row>
    <row r="84" spans="2:19">
      <c r="B84" s="65" t="str">
        <f>Brasil!B103</f>
        <v>Sao Pablo - Belo Horizonte</v>
      </c>
      <c r="C84" s="66"/>
      <c r="D84" s="60">
        <f>Brasil!B104</f>
        <v>516.85500000000002</v>
      </c>
      <c r="E84" s="60">
        <f>(Brasil!B124+'Brasil (2)'!B121)/2</f>
        <v>1143.9274900255252</v>
      </c>
      <c r="P84" s="65" t="str">
        <f>Francia!B49</f>
        <v>París - Ajaccio</v>
      </c>
      <c r="Q84" s="66"/>
      <c r="R84" s="64">
        <f>Francia!B50</f>
        <v>906.71</v>
      </c>
      <c r="S84" s="60">
        <f>(Francia!B65+'Francia (2)'!B65)/2</f>
        <v>645.41032965336217</v>
      </c>
    </row>
    <row r="85" spans="2:19">
      <c r="B85" s="65" t="str">
        <f>Brasil!B78</f>
        <v>Brasilia - Belo Horizonte</v>
      </c>
      <c r="C85" s="66"/>
      <c r="D85" s="60">
        <f>Brasil!B79</f>
        <v>594.29999999999995</v>
      </c>
      <c r="E85" s="60">
        <f>(Brasil!B99+'Brasil (2)'!B97)/2</f>
        <v>832.01993007646729</v>
      </c>
      <c r="P85" s="47"/>
      <c r="Q85" s="47"/>
      <c r="R85" s="104"/>
      <c r="S85" s="104"/>
    </row>
    <row r="86" spans="2:19">
      <c r="B86" s="65" t="str">
        <f>Brasil!B53</f>
        <v>Brasilia - Sao Paulo</v>
      </c>
      <c r="C86" s="66"/>
      <c r="D86" s="60">
        <f>Brasil!B54</f>
        <v>799.76</v>
      </c>
      <c r="E86" s="60">
        <f>(Brasil!B74+'Brasil (2)'!B73)/2</f>
        <v>805.38085829919783</v>
      </c>
    </row>
    <row r="87" spans="2:19">
      <c r="B87" s="65" t="str">
        <f>Brasil!B4</f>
        <v>Rio de Janeiro - Brasilia</v>
      </c>
      <c r="C87" s="66"/>
      <c r="D87" s="60">
        <f>Brasil!B5</f>
        <v>918.7</v>
      </c>
      <c r="E87" s="60">
        <f>(Brasil!B25+'Brasil (2)'!B25)/2</f>
        <v>608.4506056695019</v>
      </c>
    </row>
    <row r="90" spans="2:19">
      <c r="B90" s="135" t="s">
        <v>69</v>
      </c>
      <c r="C90" s="136"/>
      <c r="D90" s="136"/>
      <c r="E90" s="137"/>
    </row>
    <row r="91" spans="2:19">
      <c r="B91" s="138" t="s">
        <v>9</v>
      </c>
      <c r="C91" s="138"/>
      <c r="D91" s="44" t="s">
        <v>18</v>
      </c>
      <c r="E91" s="44" t="s">
        <v>72</v>
      </c>
    </row>
    <row r="92" spans="2:19">
      <c r="B92" s="65" t="str">
        <f>México!B29</f>
        <v>CDMX - Guadalajara</v>
      </c>
      <c r="C92" s="66"/>
      <c r="D92" s="64">
        <f>México!B30</f>
        <v>464.62</v>
      </c>
      <c r="E92" s="103">
        <f>(México!B50+'México (2)'!B49)/2</f>
        <v>609.10072486737283</v>
      </c>
      <c r="G92" s="135" t="s">
        <v>155</v>
      </c>
      <c r="H92" s="136"/>
      <c r="I92" s="136"/>
      <c r="J92" s="137"/>
      <c r="L92" s="135" t="s">
        <v>156</v>
      </c>
      <c r="M92" s="136"/>
      <c r="N92" s="136"/>
      <c r="O92" s="137"/>
    </row>
    <row r="93" spans="2:19">
      <c r="B93" s="65" t="str">
        <f>México!B54</f>
        <v>CDMX - Monterrey</v>
      </c>
      <c r="C93" s="66"/>
      <c r="D93" s="60">
        <f>México!B55</f>
        <v>704.58</v>
      </c>
      <c r="E93" s="103">
        <f>(México!B75+'México (2)'!B72)/2</f>
        <v>554.11600161706951</v>
      </c>
      <c r="G93" s="138" t="s">
        <v>9</v>
      </c>
      <c r="H93" s="138"/>
      <c r="I93" s="44" t="s">
        <v>18</v>
      </c>
      <c r="J93" s="44" t="s">
        <v>72</v>
      </c>
      <c r="L93" s="138" t="s">
        <v>9</v>
      </c>
      <c r="M93" s="138"/>
      <c r="N93" s="44" t="s">
        <v>18</v>
      </c>
      <c r="O93" s="44" t="s">
        <v>72</v>
      </c>
    </row>
    <row r="94" spans="2:19">
      <c r="B94" s="65" t="s">
        <v>143</v>
      </c>
      <c r="C94" s="66"/>
      <c r="D94" s="60">
        <v>635.70000000000005</v>
      </c>
      <c r="E94" s="103">
        <f>'México (2)'!B97</f>
        <v>263.01714645272926</v>
      </c>
      <c r="G94" s="59" t="str">
        <f>Canadá!B124</f>
        <v>Toronto-Ottawa</v>
      </c>
      <c r="H94" s="59"/>
      <c r="I94" s="60">
        <f>Canadá!B125</f>
        <v>363.6</v>
      </c>
      <c r="J94" s="60">
        <f>(Canadá!B145+'Canadá (2)'!B145)/2</f>
        <v>1261.560977526324</v>
      </c>
      <c r="L94" s="65" t="str">
        <f>Argentina!B119</f>
        <v>Buenos Aires - Rosario</v>
      </c>
      <c r="M94" s="66"/>
      <c r="N94" s="60">
        <f>Argentina!B120</f>
        <v>290.87</v>
      </c>
      <c r="O94" s="60">
        <f>(Argentina!B140+'Argentina (2)'!B140)/2</f>
        <v>486.70081708896294</v>
      </c>
    </row>
    <row r="95" spans="2:19">
      <c r="B95" s="65" t="str">
        <f>México!B4</f>
        <v>CDMX - Cancún</v>
      </c>
      <c r="C95" s="66"/>
      <c r="D95" s="60">
        <f>México!B5</f>
        <v>1297.5</v>
      </c>
      <c r="E95" s="103">
        <f>(México!B25+'México (2)'!B25)/2</f>
        <v>169.7942328347504</v>
      </c>
      <c r="G95" s="59" t="str">
        <f>Canadá!B148</f>
        <v>Toronto-Montreal</v>
      </c>
      <c r="H95" s="59"/>
      <c r="I95" s="60">
        <f>Canadá!B149</f>
        <v>505.95</v>
      </c>
      <c r="J95" s="60">
        <f>(Canadá!B173+'Canadá (2)'!B173)/2</f>
        <v>708.96217877309812</v>
      </c>
      <c r="L95" s="65" t="str">
        <f>Argentina!B29</f>
        <v>Buenos Aires - Mendoza</v>
      </c>
      <c r="M95" s="66"/>
      <c r="N95" s="60">
        <f>Argentina!B30</f>
        <v>982.48</v>
      </c>
      <c r="O95" s="60">
        <f>(Argentina!B45+'Argentina (2)'!B45)/2</f>
        <v>432.78234671443693</v>
      </c>
    </row>
    <row r="96" spans="2:19">
      <c r="B96" s="59" t="str">
        <f>México!B79</f>
        <v>CDMX - Tijuana</v>
      </c>
      <c r="C96" s="59"/>
      <c r="D96" s="60">
        <f>México!B80</f>
        <v>2301.9499999999998</v>
      </c>
      <c r="E96" s="103">
        <f>(México!B100+'México (2)'!B121)/2</f>
        <v>161.3141697634569</v>
      </c>
      <c r="G96" s="59" t="str">
        <f>Canadá!B4</f>
        <v>Toronto-Quebec</v>
      </c>
      <c r="H96" s="59"/>
      <c r="I96" s="60">
        <f>Canadá!B5</f>
        <v>725.38</v>
      </c>
      <c r="J96" s="60">
        <f>(Canadá!B25+'Canadá (2)'!B25)/2</f>
        <v>643.54200556949456</v>
      </c>
      <c r="L96" s="65" t="str">
        <f>Argentina!B94</f>
        <v>Buenos Aires - Iguazú</v>
      </c>
      <c r="M96" s="66"/>
      <c r="N96" s="60">
        <f>Argentina!B95</f>
        <v>1072.3399999999999</v>
      </c>
      <c r="O96" s="60">
        <f>(Argentina!B115+'Argentina (2)'!B115)/2</f>
        <v>408.73748583057204</v>
      </c>
    </row>
    <row r="97" spans="2:15">
      <c r="G97" s="59" t="str">
        <f>Canadá!B28</f>
        <v>Toronto-Halifax</v>
      </c>
      <c r="H97" s="59"/>
      <c r="I97" s="60">
        <f>Canadá!B29</f>
        <v>1287.67</v>
      </c>
      <c r="J97" s="60">
        <f>(Canadá!B49+'Canadá (2)'!B49)/2</f>
        <v>354.7422158556999</v>
      </c>
      <c r="L97" s="65" t="str">
        <f>Argentina!B4</f>
        <v>Buenos Aires - Córdoba</v>
      </c>
      <c r="M97" s="66"/>
      <c r="N97" s="60">
        <f>Argentina!B5</f>
        <v>654.70000000000005</v>
      </c>
      <c r="O97" s="60">
        <f>(Argentina!B25+'Argentina (2)'!B25)/2</f>
        <v>363.40117611119592</v>
      </c>
    </row>
    <row r="98" spans="2:15">
      <c r="G98" s="59" t="str">
        <f>Canadá!B52</f>
        <v>Toronto-Winniepeg</v>
      </c>
      <c r="H98" s="59"/>
      <c r="I98" s="60">
        <f>Canadá!B53</f>
        <v>1502.47</v>
      </c>
      <c r="J98" s="60">
        <f>(Canadá!B73+'Canadá (2)'!B73)/2</f>
        <v>245.08531507007348</v>
      </c>
      <c r="L98" s="59" t="str">
        <f>Argentina!B69</f>
        <v>Buenos Aires - Bariloche</v>
      </c>
      <c r="M98" s="59"/>
      <c r="N98" s="60">
        <f>Argentina!B70</f>
        <v>1337.26</v>
      </c>
      <c r="O98" s="60">
        <f>(Argentina!B90+'Argentina (2)'!B90)/2</f>
        <v>340.21057984236421</v>
      </c>
    </row>
    <row r="99" spans="2:15">
      <c r="B99" s="135" t="s">
        <v>77</v>
      </c>
      <c r="C99" s="136"/>
      <c r="D99" s="136"/>
      <c r="E99" s="137"/>
      <c r="G99" s="59" t="str">
        <f>Canadá!B100</f>
        <v>Toronto-Calgary</v>
      </c>
      <c r="H99" s="59"/>
      <c r="I99" s="60">
        <f>Canadá!B101</f>
        <v>2688.15</v>
      </c>
      <c r="J99" s="60">
        <f>(Canadá!B121+'Canadá (2)'!B121)/2</f>
        <v>164.26871542451912</v>
      </c>
      <c r="L99" s="59" t="str">
        <f>Argentina!B49</f>
        <v>Buenos Aires - Salta</v>
      </c>
      <c r="M99" s="59"/>
      <c r="N99" s="60">
        <f>Argentina!B50</f>
        <v>1280.19</v>
      </c>
      <c r="O99" s="60">
        <f>(Argentina!B65+'Argentina (2)'!B65)/2</f>
        <v>256.92366844852023</v>
      </c>
    </row>
    <row r="100" spans="2:15">
      <c r="B100" s="138" t="s">
        <v>9</v>
      </c>
      <c r="C100" s="138"/>
      <c r="D100" s="44" t="s">
        <v>18</v>
      </c>
      <c r="E100" s="44" t="s">
        <v>72</v>
      </c>
      <c r="G100" s="59" t="str">
        <f>Canadá!B76</f>
        <v>Toronto-Vancouver</v>
      </c>
      <c r="H100" s="59"/>
      <c r="I100" s="60">
        <f>Canadá!B77</f>
        <v>3344.97</v>
      </c>
      <c r="J100" s="60">
        <f>(Canadá!B97+'Canadá (2)'!B97)/2</f>
        <v>217.63406301542494</v>
      </c>
      <c r="L100" s="139"/>
      <c r="M100" s="139"/>
      <c r="N100" s="104"/>
      <c r="O100" s="104"/>
    </row>
    <row r="101" spans="2:15">
      <c r="B101" s="65" t="str">
        <f>EEUU!B4</f>
        <v>Miami - Orlando</v>
      </c>
      <c r="C101" s="66"/>
      <c r="D101" s="64">
        <f>EEUU!B5</f>
        <v>312.74</v>
      </c>
      <c r="E101" s="60">
        <f>(EEUU!B30+'EEUU (2)'!B25)/2</f>
        <v>1128.3656229937485</v>
      </c>
    </row>
    <row r="102" spans="2:15">
      <c r="B102" s="65" t="str">
        <f>EEUU!B89</f>
        <v>San Francisco - Las Vegas</v>
      </c>
      <c r="C102" s="66"/>
      <c r="D102" s="60">
        <f>EEUU!B90</f>
        <v>664</v>
      </c>
      <c r="E102" s="60">
        <f>(EEUU!B115+'EEUU (2)'!B105)/2</f>
        <v>753.41490963855426</v>
      </c>
    </row>
    <row r="103" spans="2:15">
      <c r="B103" s="65" t="str">
        <f>EEUU!B154</f>
        <v>Chicago - Nueva York</v>
      </c>
      <c r="C103" s="66"/>
      <c r="D103" s="60">
        <f>EEUU!B155</f>
        <v>1187.25</v>
      </c>
      <c r="E103" s="60">
        <f>(EEUU!B180+'EEUU (2)'!B170)/2</f>
        <v>683.89029639066382</v>
      </c>
      <c r="G103" s="135" t="s">
        <v>157</v>
      </c>
      <c r="H103" s="136"/>
      <c r="I103" s="136"/>
      <c r="J103" s="137"/>
      <c r="L103" s="135" t="s">
        <v>158</v>
      </c>
      <c r="M103" s="136"/>
      <c r="N103" s="136"/>
      <c r="O103" s="137"/>
    </row>
    <row r="104" spans="2:15">
      <c r="B104" s="65" t="str">
        <f>EEUU!B59</f>
        <v>San Francisco - Los Angeles</v>
      </c>
      <c r="C104" s="66"/>
      <c r="D104" s="60">
        <f>EEUU!B60</f>
        <v>544.75</v>
      </c>
      <c r="E104" s="60">
        <f>(EEUU!B85+'EEUU (2)'!B80)/2</f>
        <v>653.15321090447299</v>
      </c>
      <c r="G104" s="138" t="s">
        <v>9</v>
      </c>
      <c r="H104" s="138"/>
      <c r="I104" s="44" t="s">
        <v>18</v>
      </c>
      <c r="J104" s="44" t="s">
        <v>72</v>
      </c>
      <c r="L104" s="138" t="s">
        <v>9</v>
      </c>
      <c r="M104" s="138"/>
      <c r="N104" s="44" t="s">
        <v>18</v>
      </c>
      <c r="O104" s="44" t="s">
        <v>72</v>
      </c>
    </row>
    <row r="105" spans="2:15">
      <c r="B105" s="65" t="str">
        <f>EEUU!B34</f>
        <v>Miami - Atlanta</v>
      </c>
      <c r="C105" s="66"/>
      <c r="D105" s="60">
        <f>EEUU!B35</f>
        <v>938</v>
      </c>
      <c r="E105" s="60">
        <f>(EEUU!B55+'EEUU (2)'!B50)/2</f>
        <v>415.80392966045349</v>
      </c>
      <c r="G105" s="65" t="str">
        <f>Chile!B52</f>
        <v>Santiago - Concepción</v>
      </c>
      <c r="H105" s="66"/>
      <c r="I105" s="64">
        <f>Chile!B53</f>
        <v>420.4</v>
      </c>
      <c r="J105" s="60">
        <f>(Chile!B73+'Chile (2)'!B73)/2</f>
        <v>1019.8986313401157</v>
      </c>
      <c r="L105" s="65" t="str">
        <f>Perú!B105</f>
        <v>Lima - Cajamarca</v>
      </c>
      <c r="M105" s="66"/>
      <c r="N105" s="60">
        <f>Perú!B106</f>
        <v>563.78</v>
      </c>
      <c r="O105" s="60">
        <f>(Perú!B126+'Perú (2)'!B126)/2</f>
        <v>649.54414842669132</v>
      </c>
    </row>
    <row r="106" spans="2:15">
      <c r="B106" s="65" t="str">
        <f>EEUU!B119</f>
        <v>Los Angeles - Nueva York</v>
      </c>
      <c r="C106" s="66"/>
      <c r="D106" s="60">
        <f>EEUU!B120</f>
        <v>3973.63</v>
      </c>
      <c r="E106" s="60">
        <f>(EEUU!B150+'EEUU (2)'!B140)/2</f>
        <v>204.73035616934268</v>
      </c>
      <c r="G106" s="65" t="str">
        <f>Chile!B100</f>
        <v>Santiago - La Serena</v>
      </c>
      <c r="H106" s="66"/>
      <c r="I106" s="60">
        <f>Chile!B101</f>
        <v>468.4</v>
      </c>
      <c r="J106" s="60">
        <f>(Chile!B121+'Chile (2)'!B121)/2</f>
        <v>513.29754788337198</v>
      </c>
      <c r="L106" s="65" t="str">
        <f>Perú!B28</f>
        <v>Lima - Juliaca</v>
      </c>
      <c r="M106" s="66"/>
      <c r="N106" s="60">
        <f>Perú!B29</f>
        <v>845.31</v>
      </c>
      <c r="O106" s="60">
        <f>(Perú!B49+'Perú (2)'!B49)/2</f>
        <v>558.17786768562223</v>
      </c>
    </row>
    <row r="107" spans="2:15">
      <c r="G107" s="65" t="str">
        <f>Chile!B28</f>
        <v>Santiago - Puerto Montt</v>
      </c>
      <c r="H107" s="66"/>
      <c r="I107" s="60">
        <f>Chile!B29</f>
        <v>902.21</v>
      </c>
      <c r="J107" s="60">
        <f>(Chile!B49+'Chile (2)'!B49)/2</f>
        <v>448.59503117558336</v>
      </c>
      <c r="L107" s="65" t="str">
        <f>Perú!B52</f>
        <v>Lima - Pucallpa</v>
      </c>
      <c r="M107" s="66"/>
      <c r="N107" s="60">
        <f>Perú!B53</f>
        <v>491.5</v>
      </c>
      <c r="O107" s="60">
        <f>(Perú!B78+'Perú (2)'!B78)/2</f>
        <v>401.62767039674463</v>
      </c>
    </row>
    <row r="108" spans="2:15">
      <c r="G108" s="59" t="str">
        <f>Chile!B4</f>
        <v>Santiago - Antofagasta</v>
      </c>
      <c r="H108" s="59"/>
      <c r="I108" s="60">
        <f>Chile!B5</f>
        <v>1124.53</v>
      </c>
      <c r="J108" s="60">
        <f>(Chile!B25+'Chile (2)'!B25)/2</f>
        <v>429.81048314290922</v>
      </c>
      <c r="L108" s="59" t="str">
        <f>Perú!B81</f>
        <v>Lima - Iquitos</v>
      </c>
      <c r="M108" s="59"/>
      <c r="N108" s="60">
        <f>Perú!B82</f>
        <v>1014.47</v>
      </c>
      <c r="O108" s="60">
        <f>(Perú!B102+'Perú (2)'!B102)/2</f>
        <v>272.44345745632131</v>
      </c>
    </row>
    <row r="109" spans="2:15">
      <c r="B109" s="135" t="s">
        <v>71</v>
      </c>
      <c r="C109" s="136"/>
      <c r="D109" s="136"/>
      <c r="E109" s="137"/>
      <c r="G109" s="59" t="str">
        <f>Chile!B76</f>
        <v>Santiago - Punta Arenas</v>
      </c>
      <c r="H109" s="59"/>
      <c r="I109" s="60">
        <f>Chile!B77</f>
        <v>2173</v>
      </c>
      <c r="J109" s="60">
        <f>(Chile!B97+'Chile (2)'!B97)/2</f>
        <v>321.74590250982334</v>
      </c>
      <c r="L109" s="59" t="str">
        <f>Perú!B4</f>
        <v>Lima - Arequipa</v>
      </c>
      <c r="M109" s="59"/>
      <c r="N109" s="60">
        <f>Perú!B5</f>
        <v>768.78</v>
      </c>
      <c r="O109" s="60">
        <f>(Perú!B25+'Perú (2)'!B25)/2</f>
        <v>266.85571077985037</v>
      </c>
    </row>
    <row r="110" spans="2:15">
      <c r="B110" s="138" t="s">
        <v>9</v>
      </c>
      <c r="C110" s="138"/>
      <c r="D110" s="44" t="s">
        <v>18</v>
      </c>
      <c r="E110" s="44" t="s">
        <v>72</v>
      </c>
      <c r="G110" s="47"/>
      <c r="H110" s="47"/>
      <c r="I110" s="104"/>
      <c r="J110" s="104"/>
      <c r="L110" s="47"/>
      <c r="M110" s="47"/>
      <c r="N110" s="104"/>
      <c r="O110" s="104"/>
    </row>
    <row r="111" spans="2:15">
      <c r="B111" s="65" t="str">
        <f>España!B30</f>
        <v>Madrid - La Coruña</v>
      </c>
      <c r="C111" s="66"/>
      <c r="D111" s="64">
        <f>España!B31</f>
        <v>512.5</v>
      </c>
      <c r="E111" s="60">
        <f>(España!B47+'España (2)'!B49)/2</f>
        <v>1277.3312486971026</v>
      </c>
      <c r="G111" s="47"/>
      <c r="H111" s="47"/>
      <c r="I111" s="104"/>
      <c r="J111" s="104"/>
    </row>
    <row r="112" spans="2:15">
      <c r="B112" s="65" t="str">
        <f>España!B51</f>
        <v>Barcelona - Palma de Mallorca</v>
      </c>
      <c r="C112" s="66"/>
      <c r="D112" s="60">
        <f>España!B52</f>
        <v>202.22</v>
      </c>
      <c r="E112" s="60">
        <f>(España!B73+'España (2)'!B73)/2</f>
        <v>914.19501554139435</v>
      </c>
    </row>
    <row r="113" spans="2:5">
      <c r="B113" s="65" t="str">
        <f>España!B77</f>
        <v>Barcelona - Málaga</v>
      </c>
      <c r="C113" s="66"/>
      <c r="D113" s="60">
        <f>España!B78</f>
        <v>767.18</v>
      </c>
      <c r="E113" s="60">
        <f>(España!B94+'España (2)'!B97)/2</f>
        <v>874.50561924921112</v>
      </c>
    </row>
    <row r="114" spans="2:5">
      <c r="B114" s="65" t="str">
        <f>España!B4</f>
        <v>Madrid - Barcelona</v>
      </c>
      <c r="C114" s="66"/>
      <c r="D114" s="60">
        <f>España!B5</f>
        <v>483.85</v>
      </c>
      <c r="E114" s="60">
        <f>(España!B26+'España (2)'!B25)/2</f>
        <v>862.54719847383853</v>
      </c>
    </row>
    <row r="115" spans="2:5">
      <c r="B115" s="65" t="str">
        <f>España!B98</f>
        <v>Madrid - Ibiza</v>
      </c>
      <c r="C115" s="66"/>
      <c r="D115" s="60">
        <f>España!B99</f>
        <v>456.82</v>
      </c>
      <c r="E115" s="60">
        <f>(España!B120+'España (2)'!B121)/2</f>
        <v>564.61067034843359</v>
      </c>
    </row>
  </sheetData>
  <sortState ref="P80:S84">
    <sortCondition descending="1" ref="S80:S84"/>
  </sortState>
  <mergeCells count="27">
    <mergeCell ref="P78:S78"/>
    <mergeCell ref="P79:Q79"/>
    <mergeCell ref="O4:O6"/>
    <mergeCell ref="M4:M6"/>
    <mergeCell ref="N4:N6"/>
    <mergeCell ref="N17:O17"/>
    <mergeCell ref="G92:J92"/>
    <mergeCell ref="G93:H93"/>
    <mergeCell ref="L92:O92"/>
    <mergeCell ref="L93:M93"/>
    <mergeCell ref="B110:C110"/>
    <mergeCell ref="B109:E109"/>
    <mergeCell ref="L100:M100"/>
    <mergeCell ref="G103:J103"/>
    <mergeCell ref="G104:H104"/>
    <mergeCell ref="L103:O103"/>
    <mergeCell ref="L104:M104"/>
    <mergeCell ref="B82:C82"/>
    <mergeCell ref="B90:E90"/>
    <mergeCell ref="B91:C91"/>
    <mergeCell ref="B99:E99"/>
    <mergeCell ref="B100:C100"/>
    <mergeCell ref="B79:C79"/>
    <mergeCell ref="B80:C80"/>
    <mergeCell ref="B72:C72"/>
    <mergeCell ref="B71:E71"/>
    <mergeCell ref="B81:E8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A4" sqref="A4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L106"/>
  <sheetViews>
    <sheetView topLeftCell="A7" workbookViewId="0">
      <selection activeCell="B12" sqref="B12"/>
    </sheetView>
  </sheetViews>
  <sheetFormatPr baseColWidth="10" defaultRowHeight="15"/>
  <cols>
    <col min="1" max="1" width="19.42578125" bestFit="1" customWidth="1"/>
    <col min="2" max="2" width="15" customWidth="1"/>
    <col min="7" max="7" width="16.140625" bestFit="1" customWidth="1"/>
  </cols>
  <sheetData>
    <row r="4" spans="1:12">
      <c r="A4" s="23" t="s">
        <v>9</v>
      </c>
      <c r="B4" s="23" t="s">
        <v>73</v>
      </c>
      <c r="C4" s="23"/>
      <c r="D4" s="23"/>
      <c r="E4" s="23"/>
      <c r="F4" s="23"/>
      <c r="G4" s="23"/>
    </row>
    <row r="5" spans="1:12">
      <c r="A5" s="23" t="s">
        <v>18</v>
      </c>
      <c r="B5" s="23">
        <v>1297.5</v>
      </c>
      <c r="C5" s="23"/>
      <c r="D5" s="23"/>
      <c r="E5" s="23"/>
      <c r="F5" s="23"/>
      <c r="G5" s="23"/>
    </row>
    <row r="6" spans="1:12">
      <c r="A6" s="23" t="s">
        <v>11</v>
      </c>
      <c r="B6" s="25">
        <v>43365</v>
      </c>
      <c r="C6" s="23"/>
      <c r="D6" s="23"/>
      <c r="E6" s="23"/>
      <c r="F6" s="23"/>
      <c r="G6" s="23"/>
    </row>
    <row r="7" spans="1:12">
      <c r="A7" s="23" t="s">
        <v>12</v>
      </c>
      <c r="B7" s="25">
        <v>43369</v>
      </c>
      <c r="C7" s="23"/>
      <c r="D7" s="23"/>
      <c r="E7" s="23"/>
      <c r="F7" s="23"/>
      <c r="G7" s="23"/>
    </row>
    <row r="8" spans="1:12">
      <c r="A8" s="23"/>
      <c r="B8" s="25"/>
      <c r="C8" s="23"/>
      <c r="D8" s="23"/>
      <c r="E8" s="23"/>
      <c r="F8" s="23"/>
      <c r="G8" s="23"/>
    </row>
    <row r="9" spans="1:12">
      <c r="A9" s="26" t="s">
        <v>1</v>
      </c>
      <c r="B9" s="27" t="s">
        <v>38</v>
      </c>
      <c r="C9" s="23"/>
      <c r="D9" s="23"/>
      <c r="E9" s="23"/>
      <c r="F9" s="23"/>
      <c r="G9" s="23"/>
    </row>
    <row r="10" spans="1:12">
      <c r="A10" s="26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  <c r="J10" s="9"/>
      <c r="K10" s="16"/>
    </row>
    <row r="11" spans="1:12">
      <c r="A11" s="26" t="s">
        <v>4</v>
      </c>
      <c r="B11" s="29">
        <v>75400</v>
      </c>
      <c r="C11" s="29">
        <v>110300</v>
      </c>
      <c r="D11" s="29">
        <v>45141</v>
      </c>
      <c r="E11" s="29">
        <f>B11+C11+D11</f>
        <v>230841</v>
      </c>
      <c r="F11" s="30" t="s">
        <v>14</v>
      </c>
      <c r="G11" s="125">
        <v>12</v>
      </c>
      <c r="J11" s="10"/>
      <c r="K11" s="16"/>
    </row>
    <row r="12" spans="1:12">
      <c r="A12" s="26" t="s">
        <v>5</v>
      </c>
      <c r="B12" s="29">
        <v>337600</v>
      </c>
      <c r="C12" s="29">
        <v>152300</v>
      </c>
      <c r="D12" s="29">
        <v>29400</v>
      </c>
      <c r="E12" s="29">
        <f>B12+C12+D12</f>
        <v>519300</v>
      </c>
      <c r="F12" s="30" t="s">
        <v>14</v>
      </c>
      <c r="G12" s="125"/>
      <c r="I12" s="16"/>
      <c r="J12" s="12"/>
      <c r="K12" s="16"/>
    </row>
    <row r="13" spans="1:12">
      <c r="A13" s="23"/>
      <c r="B13" s="23"/>
      <c r="C13" s="23"/>
      <c r="D13" s="23"/>
      <c r="E13" s="23"/>
      <c r="F13" s="23"/>
      <c r="G13" s="23"/>
      <c r="I13" s="16"/>
      <c r="J13" s="13"/>
      <c r="K13" s="18"/>
    </row>
    <row r="14" spans="1:12">
      <c r="A14" s="26" t="s">
        <v>1</v>
      </c>
      <c r="B14" s="27" t="s">
        <v>39</v>
      </c>
      <c r="C14" s="23"/>
      <c r="D14" s="23"/>
      <c r="E14" s="23"/>
      <c r="F14" s="23"/>
      <c r="G14" s="23"/>
      <c r="I14" s="16"/>
      <c r="J14" s="13"/>
      <c r="K14" s="18"/>
    </row>
    <row r="15" spans="1:12">
      <c r="A15" s="26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5">
        <f>G11+G16+G21</f>
        <v>35</v>
      </c>
      <c r="K15" s="15"/>
      <c r="L15" s="3"/>
    </row>
    <row r="16" spans="1:12">
      <c r="A16" s="26" t="s">
        <v>4</v>
      </c>
      <c r="B16" s="29">
        <v>72400</v>
      </c>
      <c r="C16" s="29">
        <v>230500</v>
      </c>
      <c r="D16" s="29">
        <v>36015</v>
      </c>
      <c r="E16" s="29">
        <f>B16+C16+D16</f>
        <v>338915</v>
      </c>
      <c r="F16" s="30" t="s">
        <v>14</v>
      </c>
      <c r="G16" s="125">
        <v>9</v>
      </c>
      <c r="I16" s="54" t="s">
        <v>61</v>
      </c>
      <c r="J16" s="55">
        <f>(G11*100/(G11+G16+G21))^2+(G16*100/(G11+G16+G21))^2+(G21*100/(G11+G16+G21))^2</f>
        <v>3436.7346938775509</v>
      </c>
      <c r="K16" s="17"/>
      <c r="L16" s="14"/>
    </row>
    <row r="17" spans="1:12">
      <c r="A17" s="26" t="s">
        <v>5</v>
      </c>
      <c r="B17" s="29">
        <v>530500</v>
      </c>
      <c r="C17" s="29">
        <v>303800</v>
      </c>
      <c r="D17" s="29">
        <v>36015</v>
      </c>
      <c r="E17" s="29">
        <f>B17+C17+D17</f>
        <v>870315</v>
      </c>
      <c r="F17" s="30" t="s">
        <v>14</v>
      </c>
      <c r="G17" s="125"/>
      <c r="I17" s="17"/>
      <c r="J17" s="12"/>
      <c r="K17" s="17"/>
      <c r="L17" s="12"/>
    </row>
    <row r="18" spans="1:12">
      <c r="A18" s="23"/>
      <c r="B18" s="23"/>
      <c r="C18" s="23"/>
      <c r="D18" s="23"/>
      <c r="E18" s="23"/>
      <c r="F18" s="23"/>
      <c r="G18" s="23"/>
      <c r="I18" s="24"/>
      <c r="J18" s="13"/>
      <c r="K18" s="24"/>
      <c r="L18" s="3"/>
    </row>
    <row r="19" spans="1:12">
      <c r="A19" s="26" t="s">
        <v>1</v>
      </c>
      <c r="B19" s="27" t="s">
        <v>40</v>
      </c>
      <c r="C19" s="23"/>
      <c r="D19" s="23"/>
      <c r="E19" s="23"/>
      <c r="F19" s="23"/>
      <c r="G19" s="23"/>
      <c r="J19" s="3"/>
      <c r="K19" s="3"/>
      <c r="L19" s="3"/>
    </row>
    <row r="20" spans="1:12">
      <c r="A20" s="26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J20" s="14"/>
      <c r="K20" s="3"/>
      <c r="L20" s="3"/>
    </row>
    <row r="21" spans="1:12">
      <c r="A21" s="26" t="s">
        <v>4</v>
      </c>
      <c r="B21" s="29">
        <v>229100</v>
      </c>
      <c r="C21" s="29">
        <v>121300</v>
      </c>
      <c r="D21" s="29">
        <v>29400</v>
      </c>
      <c r="E21" s="29">
        <f>B21+C21+D21</f>
        <v>379800</v>
      </c>
      <c r="F21" s="30" t="s">
        <v>14</v>
      </c>
      <c r="G21" s="125">
        <v>14</v>
      </c>
      <c r="J21" s="12"/>
      <c r="K21" s="14"/>
      <c r="L21" s="3"/>
    </row>
    <row r="22" spans="1:12">
      <c r="A22" s="26" t="s">
        <v>5</v>
      </c>
      <c r="B22" s="29">
        <v>358700</v>
      </c>
      <c r="C22" s="29">
        <v>142000</v>
      </c>
      <c r="D22" s="29">
        <v>29400</v>
      </c>
      <c r="E22" s="29">
        <f>B22+C22+D22</f>
        <v>530100</v>
      </c>
      <c r="F22" s="30" t="s">
        <v>14</v>
      </c>
      <c r="G22" s="125"/>
      <c r="J22" s="12"/>
      <c r="K22" s="12"/>
      <c r="L22" s="3"/>
    </row>
    <row r="23" spans="1:12">
      <c r="A23" s="23"/>
      <c r="B23" s="23"/>
      <c r="C23" s="23"/>
      <c r="D23" s="23"/>
      <c r="E23" s="23"/>
      <c r="F23" s="23"/>
      <c r="G23" s="23"/>
      <c r="J23" s="13"/>
      <c r="K23" s="3"/>
    </row>
    <row r="24" spans="1:12">
      <c r="A24" s="23"/>
      <c r="B24" s="31" t="s">
        <v>8</v>
      </c>
      <c r="C24" s="31" t="s">
        <v>7</v>
      </c>
      <c r="D24" s="31" t="s">
        <v>6</v>
      </c>
      <c r="E24" s="31" t="s">
        <v>10</v>
      </c>
      <c r="F24" s="23"/>
      <c r="G24" s="23"/>
    </row>
    <row r="25" spans="1:12">
      <c r="A25" s="26" t="s">
        <v>19</v>
      </c>
      <c r="B25" s="29">
        <f>(((B11+B12)/2*$G$11+(B16+B17)/2*$G$16+(B21+B22)/2*$G$21)/($G$11+$G$16+$G$21))/$B$5</f>
        <v>204.91384530690888</v>
      </c>
      <c r="C25" s="29">
        <f t="shared" ref="C25:D25" si="0">(((C11+C12)/2*$G$11+(C16+C17)/2*$G$16+(C21+C22)/2*$G$21)/($G$11+$G$16+$G$21))/$B$5</f>
        <v>128.22570878062206</v>
      </c>
      <c r="D25" s="29">
        <f t="shared" si="0"/>
        <v>26.049677952105696</v>
      </c>
      <c r="E25" s="29">
        <f>B25+C25+D25</f>
        <v>359.18923203963664</v>
      </c>
      <c r="F25" s="23"/>
      <c r="G25" s="23"/>
    </row>
    <row r="29" spans="1:12">
      <c r="A29" s="23" t="s">
        <v>9</v>
      </c>
      <c r="B29" s="23" t="s">
        <v>74</v>
      </c>
      <c r="C29" s="23"/>
      <c r="D29" s="23"/>
      <c r="E29" s="23"/>
      <c r="F29" s="23"/>
      <c r="G29" s="23"/>
    </row>
    <row r="30" spans="1:12">
      <c r="A30" s="23" t="s">
        <v>18</v>
      </c>
      <c r="B30" s="23">
        <v>464.62</v>
      </c>
      <c r="C30" s="23"/>
      <c r="D30" s="23"/>
      <c r="E30" s="23"/>
      <c r="F30" s="23"/>
      <c r="G30" s="23"/>
    </row>
    <row r="31" spans="1:12">
      <c r="A31" s="23" t="s">
        <v>11</v>
      </c>
      <c r="B31" s="25">
        <v>43365</v>
      </c>
      <c r="C31" s="23"/>
      <c r="D31" s="23"/>
      <c r="E31" s="23"/>
      <c r="F31" s="23"/>
      <c r="G31" s="23"/>
    </row>
    <row r="32" spans="1:12">
      <c r="A32" s="23" t="s">
        <v>12</v>
      </c>
      <c r="B32" s="25">
        <v>43369</v>
      </c>
      <c r="C32" s="23"/>
      <c r="D32" s="23"/>
      <c r="E32" s="23"/>
      <c r="F32" s="23"/>
      <c r="G32" s="23"/>
    </row>
    <row r="33" spans="1:11">
      <c r="A33" s="23"/>
      <c r="B33" s="25"/>
      <c r="C33" s="23"/>
      <c r="D33" s="23"/>
      <c r="E33" s="23"/>
      <c r="F33" s="23"/>
      <c r="G33" s="23"/>
    </row>
    <row r="34" spans="1:11">
      <c r="A34" s="26" t="s">
        <v>1</v>
      </c>
      <c r="B34" s="27" t="s">
        <v>38</v>
      </c>
      <c r="C34" s="23"/>
      <c r="D34" s="23"/>
      <c r="E34" s="23"/>
      <c r="F34" s="23"/>
      <c r="G34" s="23"/>
    </row>
    <row r="35" spans="1:11">
      <c r="A35" s="26" t="s">
        <v>3</v>
      </c>
      <c r="B35" s="28" t="s">
        <v>8</v>
      </c>
      <c r="C35" s="28" t="s">
        <v>7</v>
      </c>
      <c r="D35" s="28" t="s">
        <v>6</v>
      </c>
      <c r="E35" s="28" t="s">
        <v>10</v>
      </c>
      <c r="F35" s="28" t="s">
        <v>13</v>
      </c>
      <c r="G35" s="28" t="s">
        <v>15</v>
      </c>
      <c r="J35" s="9"/>
    </row>
    <row r="36" spans="1:11">
      <c r="A36" s="26" t="s">
        <v>4</v>
      </c>
      <c r="B36" s="29">
        <v>33200</v>
      </c>
      <c r="C36" s="29">
        <v>103600</v>
      </c>
      <c r="D36" s="29">
        <v>45141</v>
      </c>
      <c r="E36" s="29">
        <f>B36+C36+D36</f>
        <v>181941</v>
      </c>
      <c r="F36" s="30" t="s">
        <v>14</v>
      </c>
      <c r="G36" s="125">
        <v>11</v>
      </c>
      <c r="I36" s="14"/>
      <c r="J36" s="12"/>
      <c r="K36" s="3"/>
    </row>
    <row r="37" spans="1:11">
      <c r="A37" s="26" t="s">
        <v>5</v>
      </c>
      <c r="B37" s="29">
        <v>295400</v>
      </c>
      <c r="C37" s="29">
        <v>145500</v>
      </c>
      <c r="D37" s="29">
        <v>29400</v>
      </c>
      <c r="E37" s="29">
        <f>B37+C37+D37</f>
        <v>470300</v>
      </c>
      <c r="F37" s="30" t="s">
        <v>14</v>
      </c>
      <c r="G37" s="125"/>
      <c r="I37" s="12"/>
      <c r="J37" s="12"/>
      <c r="K37" s="3"/>
    </row>
    <row r="38" spans="1:11">
      <c r="A38" s="23"/>
      <c r="B38" s="23"/>
      <c r="C38" s="23"/>
      <c r="D38" s="23"/>
      <c r="E38" s="23"/>
      <c r="F38" s="23"/>
      <c r="G38" s="23"/>
      <c r="I38" s="12"/>
      <c r="J38" s="13"/>
      <c r="K38" s="3"/>
    </row>
    <row r="39" spans="1:11">
      <c r="A39" s="26" t="s">
        <v>1</v>
      </c>
      <c r="B39" s="27" t="s">
        <v>40</v>
      </c>
      <c r="C39" s="23"/>
      <c r="D39" s="23"/>
      <c r="E39" s="23"/>
      <c r="F39" s="23"/>
      <c r="G39" s="23"/>
      <c r="I39" s="13"/>
      <c r="J39" s="3"/>
      <c r="K39" s="3"/>
    </row>
    <row r="40" spans="1:11">
      <c r="A40" s="26" t="s">
        <v>3</v>
      </c>
      <c r="B40" s="28" t="s">
        <v>8</v>
      </c>
      <c r="C40" s="28" t="s">
        <v>7</v>
      </c>
      <c r="D40" s="28" t="s">
        <v>6</v>
      </c>
      <c r="E40" s="28" t="s">
        <v>10</v>
      </c>
      <c r="F40" s="28" t="s">
        <v>13</v>
      </c>
      <c r="G40" s="28" t="s">
        <v>15</v>
      </c>
      <c r="I40" s="57" t="s">
        <v>63</v>
      </c>
      <c r="J40" s="15">
        <f>G36+G41+G46</f>
        <v>33</v>
      </c>
      <c r="K40" s="3"/>
    </row>
    <row r="41" spans="1:11">
      <c r="A41" s="26" t="s">
        <v>4</v>
      </c>
      <c r="B41" s="29">
        <v>177900</v>
      </c>
      <c r="C41" s="29">
        <v>113100</v>
      </c>
      <c r="D41" s="29">
        <v>29400</v>
      </c>
      <c r="E41" s="29">
        <f>B41+C41+D41</f>
        <v>320400</v>
      </c>
      <c r="F41" s="30" t="s">
        <v>14</v>
      </c>
      <c r="G41" s="125">
        <v>17</v>
      </c>
      <c r="I41" s="54" t="s">
        <v>61</v>
      </c>
      <c r="J41" s="55">
        <f>(G36*100/(G36+G41+G46))^2+(G41*100/(G36+G41+G46))^2+(G46*100/(G36+G41+G46))^2</f>
        <v>3994.4903581267222</v>
      </c>
      <c r="K41" s="3"/>
    </row>
    <row r="42" spans="1:11">
      <c r="A42" s="26" t="s">
        <v>5</v>
      </c>
      <c r="B42" s="29">
        <v>747600</v>
      </c>
      <c r="C42" s="29">
        <v>204300</v>
      </c>
      <c r="D42" s="29">
        <v>29400</v>
      </c>
      <c r="E42" s="29">
        <f>B42+C42+D42</f>
        <v>981300</v>
      </c>
      <c r="F42" s="30" t="s">
        <v>14</v>
      </c>
      <c r="G42" s="125"/>
      <c r="I42" s="3"/>
      <c r="J42" s="12"/>
      <c r="K42" s="3"/>
    </row>
    <row r="43" spans="1:11">
      <c r="A43" s="23"/>
      <c r="B43" s="23"/>
      <c r="C43" s="23"/>
      <c r="D43" s="23"/>
      <c r="E43" s="23"/>
      <c r="F43" s="23"/>
      <c r="G43" s="23"/>
      <c r="I43" s="3"/>
      <c r="J43" s="13"/>
      <c r="K43" s="3"/>
    </row>
    <row r="44" spans="1:11">
      <c r="A44" s="26" t="s">
        <v>1</v>
      </c>
      <c r="B44" s="27" t="s">
        <v>39</v>
      </c>
      <c r="C44" s="23"/>
      <c r="D44" s="23"/>
      <c r="E44" s="23"/>
      <c r="F44" s="23"/>
      <c r="G44" s="23"/>
      <c r="I44" s="3"/>
      <c r="J44" s="14"/>
      <c r="K44" s="3"/>
    </row>
    <row r="45" spans="1:11">
      <c r="A45" s="26" t="s">
        <v>3</v>
      </c>
      <c r="B45" s="28" t="s">
        <v>8</v>
      </c>
      <c r="C45" s="28" t="s">
        <v>7</v>
      </c>
      <c r="D45" s="28" t="s">
        <v>6</v>
      </c>
      <c r="E45" s="28" t="s">
        <v>10</v>
      </c>
      <c r="F45" s="28" t="s">
        <v>13</v>
      </c>
      <c r="G45" s="28" t="s">
        <v>15</v>
      </c>
      <c r="I45" s="3"/>
      <c r="J45" s="12"/>
      <c r="K45" s="3"/>
    </row>
    <row r="46" spans="1:11">
      <c r="A46" s="26" t="s">
        <v>4</v>
      </c>
      <c r="B46" s="29">
        <v>105500</v>
      </c>
      <c r="C46" s="29">
        <v>235800</v>
      </c>
      <c r="D46" s="29">
        <v>36015</v>
      </c>
      <c r="E46" s="29">
        <f>B46+C46+D46</f>
        <v>377315</v>
      </c>
      <c r="F46" s="30" t="s">
        <v>14</v>
      </c>
      <c r="G46" s="125">
        <v>5</v>
      </c>
      <c r="I46" s="3"/>
      <c r="J46" s="12"/>
      <c r="K46" s="3"/>
    </row>
    <row r="47" spans="1:11">
      <c r="A47" s="26" t="s">
        <v>5</v>
      </c>
      <c r="B47" s="29">
        <v>449200</v>
      </c>
      <c r="C47" s="29">
        <v>290800</v>
      </c>
      <c r="D47" s="29">
        <v>36015</v>
      </c>
      <c r="E47" s="29">
        <f>B47+C47+D47</f>
        <v>776015</v>
      </c>
      <c r="F47" s="30" t="s">
        <v>14</v>
      </c>
      <c r="G47" s="125"/>
      <c r="I47" s="3"/>
      <c r="J47" s="13"/>
      <c r="K47" s="3"/>
    </row>
    <row r="48" spans="1:11">
      <c r="A48" s="23"/>
      <c r="B48" s="23"/>
      <c r="C48" s="23"/>
      <c r="D48" s="23"/>
      <c r="E48" s="23"/>
      <c r="F48" s="23"/>
      <c r="G48" s="23"/>
      <c r="J48" s="11"/>
    </row>
    <row r="49" spans="1:11">
      <c r="A49" s="23"/>
      <c r="B49" s="31" t="s">
        <v>8</v>
      </c>
      <c r="C49" s="31" t="s">
        <v>7</v>
      </c>
      <c r="D49" s="31" t="s">
        <v>6</v>
      </c>
      <c r="E49" s="31" t="s">
        <v>10</v>
      </c>
      <c r="F49" s="23"/>
      <c r="G49" s="23"/>
    </row>
    <row r="50" spans="1:11">
      <c r="A50" s="26" t="s">
        <v>19</v>
      </c>
      <c r="B50" s="29">
        <f>(((B36+B37)/2*$G$36+(B41+B42)/2*$G$41+(B46+B47)/2*$G$46)/($G$36+$G$41+$G$46))/$B$30</f>
        <v>721.39761003778904</v>
      </c>
      <c r="C50" s="29">
        <f t="shared" ref="C50:D50" si="1">(((C36+C37)/2*$G$36+(C41+C42)/2*$G$41+(C46+C47)/2*$G$46)/($G$36+$G$41+$G$46))/$B$30</f>
        <v>351.17978458773086</v>
      </c>
      <c r="D50" s="29">
        <f t="shared" si="1"/>
        <v>71.081255062788358</v>
      </c>
      <c r="E50" s="29">
        <f>B50+C50+D50</f>
        <v>1143.6586496883083</v>
      </c>
      <c r="F50" s="23"/>
      <c r="G50" s="23"/>
    </row>
    <row r="54" spans="1:11">
      <c r="A54" s="23" t="s">
        <v>9</v>
      </c>
      <c r="B54" s="23" t="s">
        <v>75</v>
      </c>
      <c r="C54" s="23"/>
      <c r="D54" s="23"/>
      <c r="E54" s="23"/>
      <c r="F54" s="23"/>
      <c r="G54" s="23"/>
    </row>
    <row r="55" spans="1:11">
      <c r="A55" s="23" t="s">
        <v>18</v>
      </c>
      <c r="B55" s="23">
        <v>704.58</v>
      </c>
      <c r="C55" s="23"/>
      <c r="D55" s="23"/>
      <c r="E55" s="23"/>
      <c r="F55" s="23"/>
      <c r="G55" s="23"/>
    </row>
    <row r="56" spans="1:11">
      <c r="A56" s="23" t="s">
        <v>11</v>
      </c>
      <c r="B56" s="25">
        <v>43365</v>
      </c>
      <c r="C56" s="23"/>
      <c r="D56" s="23"/>
      <c r="E56" s="23"/>
      <c r="F56" s="23"/>
      <c r="G56" s="23"/>
    </row>
    <row r="57" spans="1:11">
      <c r="A57" s="23" t="s">
        <v>12</v>
      </c>
      <c r="B57" s="25">
        <v>43369</v>
      </c>
      <c r="C57" s="23"/>
      <c r="D57" s="23"/>
      <c r="E57" s="23"/>
      <c r="F57" s="23"/>
      <c r="G57" s="23"/>
    </row>
    <row r="58" spans="1:11">
      <c r="A58" s="23"/>
      <c r="B58" s="25"/>
      <c r="C58" s="23"/>
      <c r="D58" s="23"/>
      <c r="E58" s="23"/>
      <c r="F58" s="23"/>
      <c r="G58" s="23"/>
    </row>
    <row r="59" spans="1:11">
      <c r="A59" s="26" t="s">
        <v>1</v>
      </c>
      <c r="B59" s="27" t="s">
        <v>38</v>
      </c>
      <c r="C59" s="23"/>
      <c r="D59" s="23"/>
      <c r="E59" s="23"/>
      <c r="F59" s="23"/>
      <c r="G59" s="23"/>
    </row>
    <row r="60" spans="1:11">
      <c r="A60" s="26" t="s">
        <v>3</v>
      </c>
      <c r="B60" s="28" t="s">
        <v>8</v>
      </c>
      <c r="C60" s="28" t="s">
        <v>7</v>
      </c>
      <c r="D60" s="28" t="s">
        <v>6</v>
      </c>
      <c r="E60" s="28" t="s">
        <v>10</v>
      </c>
      <c r="F60" s="28" t="s">
        <v>13</v>
      </c>
      <c r="G60" s="28" t="s">
        <v>15</v>
      </c>
      <c r="K60" s="9"/>
    </row>
    <row r="61" spans="1:11">
      <c r="A61" s="26" t="s">
        <v>4</v>
      </c>
      <c r="B61" s="29">
        <v>90500</v>
      </c>
      <c r="C61" s="29">
        <v>112700</v>
      </c>
      <c r="D61" s="29">
        <v>45141</v>
      </c>
      <c r="E61" s="29">
        <f>B61+C61+D61</f>
        <v>248341</v>
      </c>
      <c r="F61" s="30" t="s">
        <v>14</v>
      </c>
      <c r="G61" s="125">
        <v>13</v>
      </c>
      <c r="K61" s="9"/>
    </row>
    <row r="62" spans="1:11">
      <c r="A62" s="26" t="s">
        <v>5</v>
      </c>
      <c r="B62" s="29">
        <v>373800</v>
      </c>
      <c r="C62" s="29">
        <v>158100</v>
      </c>
      <c r="D62" s="29">
        <v>29400</v>
      </c>
      <c r="E62" s="29">
        <f>B62+C62+D62</f>
        <v>561300</v>
      </c>
      <c r="F62" s="30" t="s">
        <v>14</v>
      </c>
      <c r="G62" s="125"/>
      <c r="K62" s="10"/>
    </row>
    <row r="63" spans="1:11">
      <c r="A63" s="23"/>
      <c r="B63" s="23"/>
      <c r="C63" s="23"/>
      <c r="D63" s="23"/>
      <c r="E63" s="23"/>
      <c r="F63" s="23"/>
      <c r="G63" s="23"/>
      <c r="K63" s="12"/>
    </row>
    <row r="64" spans="1:11">
      <c r="A64" s="26" t="s">
        <v>1</v>
      </c>
      <c r="B64" s="27" t="s">
        <v>40</v>
      </c>
      <c r="C64" s="23"/>
      <c r="D64" s="23"/>
      <c r="E64" s="23"/>
      <c r="F64" s="23"/>
      <c r="G64" s="23"/>
      <c r="K64" s="13"/>
    </row>
    <row r="65" spans="1:11">
      <c r="A65" s="26" t="s">
        <v>3</v>
      </c>
      <c r="B65" s="28" t="s">
        <v>8</v>
      </c>
      <c r="C65" s="28" t="s">
        <v>7</v>
      </c>
      <c r="D65" s="28" t="s">
        <v>6</v>
      </c>
      <c r="E65" s="28" t="s">
        <v>10</v>
      </c>
      <c r="F65" s="28" t="s">
        <v>13</v>
      </c>
      <c r="G65" s="28" t="s">
        <v>15</v>
      </c>
      <c r="I65" s="57" t="s">
        <v>63</v>
      </c>
      <c r="J65" s="15">
        <f>G61+G66+G71</f>
        <v>31</v>
      </c>
      <c r="K65" s="14"/>
    </row>
    <row r="66" spans="1:11">
      <c r="A66" s="26" t="s">
        <v>4</v>
      </c>
      <c r="B66" s="29">
        <v>183900</v>
      </c>
      <c r="C66" s="29">
        <v>114100</v>
      </c>
      <c r="D66" s="29">
        <v>29400</v>
      </c>
      <c r="E66" s="29">
        <f>B66+C66+D66</f>
        <v>327400</v>
      </c>
      <c r="F66" s="30" t="s">
        <v>14</v>
      </c>
      <c r="G66" s="125">
        <v>18</v>
      </c>
      <c r="I66" s="54" t="s">
        <v>61</v>
      </c>
      <c r="J66" s="55">
        <f>(G61*100/(G61+G66+G71))^2+(G66*100/(G61+G66+G71))^2+(G71*100/(G61+G66+G71))^2</f>
        <v>5130.0728407908427</v>
      </c>
      <c r="K66" s="14"/>
    </row>
    <row r="67" spans="1:11">
      <c r="A67" s="26" t="s">
        <v>5</v>
      </c>
      <c r="B67" s="29">
        <v>1003800</v>
      </c>
      <c r="C67" s="29">
        <v>245300</v>
      </c>
      <c r="D67" s="29">
        <v>29400</v>
      </c>
      <c r="E67" s="29">
        <f>B67+C67+D67</f>
        <v>1278500</v>
      </c>
      <c r="F67" s="30" t="s">
        <v>14</v>
      </c>
      <c r="G67" s="125"/>
      <c r="K67" s="12"/>
    </row>
    <row r="68" spans="1:11">
      <c r="A68" s="23"/>
      <c r="B68" s="23"/>
      <c r="C68" s="23"/>
      <c r="D68" s="23"/>
      <c r="E68" s="23"/>
      <c r="F68" s="23"/>
      <c r="G68" s="23"/>
      <c r="K68" s="12"/>
    </row>
    <row r="69" spans="1:11">
      <c r="A69" s="26" t="s">
        <v>1</v>
      </c>
      <c r="B69" s="27"/>
      <c r="C69" s="23"/>
      <c r="D69" s="23"/>
      <c r="E69" s="23"/>
      <c r="F69" s="23"/>
      <c r="G69" s="23"/>
      <c r="K69" s="33"/>
    </row>
    <row r="70" spans="1:11">
      <c r="A70" s="26" t="s">
        <v>3</v>
      </c>
      <c r="B70" s="28" t="s">
        <v>8</v>
      </c>
      <c r="C70" s="28" t="s">
        <v>7</v>
      </c>
      <c r="D70" s="28" t="s">
        <v>6</v>
      </c>
      <c r="E70" s="28" t="s">
        <v>10</v>
      </c>
      <c r="F70" s="28" t="s">
        <v>13</v>
      </c>
      <c r="G70" s="28" t="s">
        <v>15</v>
      </c>
      <c r="K70" s="34"/>
    </row>
    <row r="71" spans="1:11">
      <c r="A71" s="26" t="s">
        <v>4</v>
      </c>
      <c r="B71" s="29"/>
      <c r="C71" s="29"/>
      <c r="D71" s="29"/>
      <c r="E71" s="29">
        <f>B71+C71+D71</f>
        <v>0</v>
      </c>
      <c r="F71" s="30" t="s">
        <v>14</v>
      </c>
      <c r="G71" s="125"/>
    </row>
    <row r="72" spans="1:11">
      <c r="A72" s="26" t="s">
        <v>5</v>
      </c>
      <c r="B72" s="29"/>
      <c r="C72" s="29"/>
      <c r="D72" s="29"/>
      <c r="E72" s="29">
        <f>B72+C72+D72</f>
        <v>0</v>
      </c>
      <c r="F72" s="30" t="s">
        <v>14</v>
      </c>
      <c r="G72" s="125"/>
    </row>
    <row r="73" spans="1:11">
      <c r="A73" s="23"/>
      <c r="B73" s="23"/>
      <c r="C73" s="23"/>
      <c r="D73" s="23"/>
      <c r="E73" s="23"/>
      <c r="F73" s="23"/>
      <c r="G73" s="23"/>
    </row>
    <row r="74" spans="1:11">
      <c r="A74" s="23"/>
      <c r="B74" s="31" t="s">
        <v>8</v>
      </c>
      <c r="C74" s="31" t="s">
        <v>7</v>
      </c>
      <c r="D74" s="31" t="s">
        <v>6</v>
      </c>
      <c r="E74" s="31" t="s">
        <v>10</v>
      </c>
      <c r="F74" s="23"/>
      <c r="G74" s="23"/>
    </row>
    <row r="75" spans="1:11">
      <c r="A75" s="26" t="s">
        <v>19</v>
      </c>
      <c r="B75" s="29">
        <f>(((B61+B62)/2*$G$61+(B66+B67)/2*$G$66+(B71+B72)/2*$G$71)/($G$61+$G$66+$G$71))/$B$55</f>
        <v>627.56444241776614</v>
      </c>
      <c r="C75" s="29">
        <f t="shared" ref="C75:D75" si="2">(((C61+C62)/2*$G$61+(C66+C67)/2*$G$66+(C71+C72)/2*$G$71)/($G$61+$G$66+$G$71))/$B$55</f>
        <v>228.67890182117191</v>
      </c>
      <c r="D75" s="29">
        <f t="shared" si="2"/>
        <v>46.411383033955708</v>
      </c>
      <c r="E75" s="29">
        <f>B75+C75+D75</f>
        <v>902.65472727289387</v>
      </c>
      <c r="F75" s="23"/>
      <c r="G75" s="23"/>
    </row>
    <row r="79" spans="1:11">
      <c r="A79" s="23" t="s">
        <v>9</v>
      </c>
      <c r="B79" s="23" t="s">
        <v>76</v>
      </c>
      <c r="C79" s="23"/>
      <c r="D79" s="23"/>
      <c r="E79" s="23"/>
      <c r="F79" s="23"/>
      <c r="G79" s="23"/>
    </row>
    <row r="80" spans="1:11">
      <c r="A80" s="23" t="s">
        <v>18</v>
      </c>
      <c r="B80" s="23">
        <v>2301.9499999999998</v>
      </c>
      <c r="C80" s="23"/>
      <c r="D80" s="23"/>
      <c r="E80" s="23"/>
      <c r="F80" s="23"/>
      <c r="G80" s="23"/>
    </row>
    <row r="81" spans="1:10">
      <c r="A81" s="23" t="s">
        <v>11</v>
      </c>
      <c r="B81" s="25">
        <v>43365</v>
      </c>
      <c r="C81" s="23"/>
      <c r="D81" s="23"/>
      <c r="E81" s="23"/>
      <c r="F81" s="23"/>
      <c r="G81" s="23"/>
    </row>
    <row r="82" spans="1:10">
      <c r="A82" s="23" t="s">
        <v>12</v>
      </c>
      <c r="B82" s="25">
        <v>43369</v>
      </c>
      <c r="C82" s="23"/>
      <c r="D82" s="23"/>
      <c r="E82" s="23"/>
      <c r="F82" s="23"/>
      <c r="G82" s="23"/>
    </row>
    <row r="83" spans="1:10">
      <c r="A83" s="23"/>
      <c r="B83" s="25"/>
      <c r="C83" s="23"/>
      <c r="D83" s="23"/>
      <c r="E83" s="23"/>
      <c r="F83" s="23"/>
      <c r="G83" s="23"/>
    </row>
    <row r="84" spans="1:10">
      <c r="A84" s="26" t="s">
        <v>1</v>
      </c>
      <c r="B84" s="27" t="s">
        <v>38</v>
      </c>
      <c r="C84" s="23"/>
      <c r="D84" s="23"/>
      <c r="E84" s="23"/>
      <c r="F84" s="23"/>
      <c r="G84" s="23"/>
    </row>
    <row r="85" spans="1:10">
      <c r="A85" s="26" t="s">
        <v>3</v>
      </c>
      <c r="B85" s="28" t="s">
        <v>8</v>
      </c>
      <c r="C85" s="28" t="s">
        <v>7</v>
      </c>
      <c r="D85" s="28" t="s">
        <v>6</v>
      </c>
      <c r="E85" s="28" t="s">
        <v>10</v>
      </c>
      <c r="F85" s="28" t="s">
        <v>13</v>
      </c>
      <c r="G85" s="28" t="s">
        <v>15</v>
      </c>
      <c r="J85" s="9"/>
    </row>
    <row r="86" spans="1:10">
      <c r="A86" s="26" t="s">
        <v>4</v>
      </c>
      <c r="B86" s="29">
        <v>307500</v>
      </c>
      <c r="C86" s="29">
        <v>110500</v>
      </c>
      <c r="D86" s="29">
        <v>29400</v>
      </c>
      <c r="E86" s="29">
        <f>B86+C86+D86</f>
        <v>447400</v>
      </c>
      <c r="F86" s="30" t="s">
        <v>14</v>
      </c>
      <c r="G86" s="125">
        <v>4</v>
      </c>
      <c r="J86" s="10"/>
    </row>
    <row r="87" spans="1:10">
      <c r="A87" s="26" t="s">
        <v>5</v>
      </c>
      <c r="B87" s="29">
        <v>476300</v>
      </c>
      <c r="C87" s="29">
        <v>117300</v>
      </c>
      <c r="D87" s="29">
        <v>29400</v>
      </c>
      <c r="E87" s="29">
        <f>B87+C87+D87</f>
        <v>623000</v>
      </c>
      <c r="F87" s="30" t="s">
        <v>14</v>
      </c>
      <c r="G87" s="125"/>
      <c r="J87" s="12"/>
    </row>
    <row r="88" spans="1:10">
      <c r="A88" s="23"/>
      <c r="B88" s="23"/>
      <c r="C88" s="23"/>
      <c r="D88" s="23"/>
      <c r="E88" s="23"/>
      <c r="F88" s="23"/>
      <c r="G88" s="23"/>
      <c r="J88" s="13"/>
    </row>
    <row r="89" spans="1:10">
      <c r="A89" s="26" t="s">
        <v>1</v>
      </c>
      <c r="B89" s="27" t="s">
        <v>40</v>
      </c>
      <c r="C89" s="23"/>
      <c r="D89" s="23"/>
      <c r="E89" s="23"/>
      <c r="F89" s="23"/>
      <c r="G89" s="23"/>
    </row>
    <row r="90" spans="1:10">
      <c r="A90" s="26" t="s">
        <v>3</v>
      </c>
      <c r="B90" s="28" t="s">
        <v>8</v>
      </c>
      <c r="C90" s="28" t="s">
        <v>7</v>
      </c>
      <c r="D90" s="28" t="s">
        <v>6</v>
      </c>
      <c r="E90" s="28" t="s">
        <v>10</v>
      </c>
      <c r="F90" s="28" t="s">
        <v>13</v>
      </c>
      <c r="G90" s="28" t="s">
        <v>15</v>
      </c>
      <c r="I90" s="57" t="s">
        <v>63</v>
      </c>
      <c r="J90" s="15">
        <f>G86+G91+G96</f>
        <v>16</v>
      </c>
    </row>
    <row r="91" spans="1:10">
      <c r="A91" s="26" t="s">
        <v>4</v>
      </c>
      <c r="B91" s="29">
        <v>328600</v>
      </c>
      <c r="C91" s="29">
        <v>97800</v>
      </c>
      <c r="D91" s="29">
        <v>29400</v>
      </c>
      <c r="E91" s="29">
        <f>B91+C91+D91</f>
        <v>455800</v>
      </c>
      <c r="F91" s="30" t="s">
        <v>14</v>
      </c>
      <c r="G91" s="125">
        <v>6</v>
      </c>
      <c r="I91" s="54" t="s">
        <v>61</v>
      </c>
      <c r="J91" s="55">
        <f>(G86*100/(G86+G91+G96))^2+(G91*100/(G86+G91+G96))^2+(G96*100/(G86+G91+G96))^2</f>
        <v>3437.5</v>
      </c>
    </row>
    <row r="92" spans="1:10">
      <c r="A92" s="26" t="s">
        <v>5</v>
      </c>
      <c r="B92" s="29">
        <v>732500</v>
      </c>
      <c r="C92" s="29">
        <v>113900</v>
      </c>
      <c r="D92" s="29">
        <v>29400</v>
      </c>
      <c r="E92" s="29">
        <f>B92+C92+D92</f>
        <v>875800</v>
      </c>
      <c r="F92" s="30" t="s">
        <v>14</v>
      </c>
      <c r="G92" s="125"/>
      <c r="J92" s="12"/>
    </row>
    <row r="93" spans="1:10">
      <c r="A93" s="23"/>
      <c r="B93" s="23"/>
      <c r="C93" s="23"/>
      <c r="D93" s="23"/>
      <c r="E93" s="23"/>
      <c r="F93" s="23"/>
      <c r="G93" s="23"/>
      <c r="J93" s="11"/>
    </row>
    <row r="94" spans="1:10">
      <c r="A94" s="26" t="s">
        <v>1</v>
      </c>
      <c r="B94" s="27" t="s">
        <v>39</v>
      </c>
      <c r="C94" s="23"/>
      <c r="D94" s="23"/>
      <c r="E94" s="23"/>
      <c r="F94" s="23"/>
      <c r="G94" s="23"/>
    </row>
    <row r="95" spans="1:10">
      <c r="A95" s="26" t="s">
        <v>3</v>
      </c>
      <c r="B95" s="28" t="s">
        <v>8</v>
      </c>
      <c r="C95" s="28" t="s">
        <v>7</v>
      </c>
      <c r="D95" s="28" t="s">
        <v>6</v>
      </c>
      <c r="E95" s="28" t="s">
        <v>10</v>
      </c>
      <c r="F95" s="28" t="s">
        <v>13</v>
      </c>
      <c r="G95" s="28" t="s">
        <v>15</v>
      </c>
    </row>
    <row r="96" spans="1:10">
      <c r="A96" s="26" t="s">
        <v>4</v>
      </c>
      <c r="B96" s="29">
        <v>319600</v>
      </c>
      <c r="C96" s="29">
        <v>231700</v>
      </c>
      <c r="D96" s="29">
        <v>36015</v>
      </c>
      <c r="E96" s="29">
        <f>B96+C96+D96</f>
        <v>587315</v>
      </c>
      <c r="F96" s="30" t="s">
        <v>14</v>
      </c>
      <c r="G96" s="125">
        <v>6</v>
      </c>
      <c r="J96" s="9"/>
    </row>
    <row r="97" spans="1:10">
      <c r="A97" s="26" t="s">
        <v>5</v>
      </c>
      <c r="B97" s="29">
        <v>352700</v>
      </c>
      <c r="C97" s="29">
        <v>233100</v>
      </c>
      <c r="D97" s="29">
        <v>36015</v>
      </c>
      <c r="E97" s="29">
        <f>B97+C97+D97</f>
        <v>621815</v>
      </c>
      <c r="F97" s="30" t="s">
        <v>14</v>
      </c>
      <c r="G97" s="125"/>
      <c r="J97" s="10"/>
    </row>
    <row r="98" spans="1:10">
      <c r="A98" s="23"/>
      <c r="B98" s="23"/>
      <c r="C98" s="23"/>
      <c r="D98" s="23"/>
      <c r="E98" s="23"/>
      <c r="F98" s="23"/>
      <c r="G98" s="23"/>
      <c r="J98" s="12"/>
    </row>
    <row r="99" spans="1:10">
      <c r="A99" s="23"/>
      <c r="B99" s="31" t="s">
        <v>8</v>
      </c>
      <c r="C99" s="31" t="s">
        <v>7</v>
      </c>
      <c r="D99" s="31" t="s">
        <v>6</v>
      </c>
      <c r="E99" s="31" t="s">
        <v>10</v>
      </c>
      <c r="F99" s="23"/>
      <c r="G99" s="23"/>
      <c r="J99" s="13"/>
    </row>
    <row r="100" spans="1:10">
      <c r="A100" s="26" t="s">
        <v>19</v>
      </c>
      <c r="B100" s="29">
        <f>(((B86+B87)/2*$G$86+(B91+B92)/2*$G$91+(B96+B97)/2*$G$96)/($G$86+$G$91+$G$96))/$B$80</f>
        <v>183.7518191098851</v>
      </c>
      <c r="C100" s="29">
        <f t="shared" ref="C100:D100" si="3">(((C86+C87)/2*$G$86+(C91+C92)/2*$G$91+(C96+C97)/2*$G$96)/($G$86+$G$91+$G$96))/$B$80</f>
        <v>67.472686200829742</v>
      </c>
      <c r="D100" s="29">
        <f t="shared" si="3"/>
        <v>13.849399422228981</v>
      </c>
      <c r="E100" s="29">
        <f>B100+C100+D100</f>
        <v>265.07390473294384</v>
      </c>
      <c r="F100" s="23"/>
      <c r="G100" s="23"/>
    </row>
    <row r="103" spans="1:10" s="42" customFormat="1" ht="30">
      <c r="A103" s="45" t="s">
        <v>65</v>
      </c>
      <c r="B103" s="67" t="s">
        <v>78</v>
      </c>
      <c r="C103" s="67" t="s">
        <v>80</v>
      </c>
      <c r="D103" s="44" t="s">
        <v>81</v>
      </c>
      <c r="E103" s="67" t="s">
        <v>79</v>
      </c>
    </row>
    <row r="104" spans="1:10">
      <c r="A104" s="56">
        <f>(J16*J15+J41*J40+J66*J65+J91*J90)/(J15+J40+J65+J90)</f>
        <v>4053.357862334019</v>
      </c>
      <c r="B104" s="62">
        <f>(B25*$J$15+B50*$J$40+B75*$J$65+B100*$J$90)/($J$15+$J$40+$J$65+$J$90)</f>
        <v>464.10984815389361</v>
      </c>
      <c r="C104" s="62">
        <f t="shared" ref="C104:E104" si="4">(C25*$J$15+C50*$J$40+C75*$J$65+C100*$J$90)/($J$15+$J$40+$J$65+$J$90)</f>
        <v>210.82992725553473</v>
      </c>
      <c r="D104" s="62">
        <f t="shared" si="4"/>
        <v>42.763160088730494</v>
      </c>
      <c r="E104" s="62">
        <f t="shared" si="4"/>
        <v>717.70293549815881</v>
      </c>
    </row>
    <row r="106" spans="1:10">
      <c r="A106" s="44" t="s">
        <v>83</v>
      </c>
      <c r="B106" s="68">
        <f>C104/E104</f>
        <v>0.29375653467154528</v>
      </c>
    </row>
  </sheetData>
  <mergeCells count="12">
    <mergeCell ref="G71:G72"/>
    <mergeCell ref="G86:G87"/>
    <mergeCell ref="G91:G92"/>
    <mergeCell ref="G96:G97"/>
    <mergeCell ref="G11:G12"/>
    <mergeCell ref="G16:G17"/>
    <mergeCell ref="G21:G22"/>
    <mergeCell ref="G36:G37"/>
    <mergeCell ref="G41:G42"/>
    <mergeCell ref="G46:G47"/>
    <mergeCell ref="G61:G62"/>
    <mergeCell ref="G66:G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L162"/>
  <sheetViews>
    <sheetView topLeftCell="A83" workbookViewId="0">
      <selection activeCell="B77" sqref="B77"/>
    </sheetView>
  </sheetViews>
  <sheetFormatPr baseColWidth="10" defaultRowHeight="15"/>
  <cols>
    <col min="1" max="1" width="19.42578125" bestFit="1" customWidth="1"/>
    <col min="5" max="5" width="11.42578125" style="23"/>
    <col min="7" max="7" width="16.140625" bestFit="1" customWidth="1"/>
  </cols>
  <sheetData>
    <row r="4" spans="1:12">
      <c r="A4" t="s">
        <v>9</v>
      </c>
      <c r="B4" s="126" t="s">
        <v>136</v>
      </c>
      <c r="C4" s="127"/>
    </row>
    <row r="5" spans="1:12">
      <c r="A5" t="s">
        <v>18</v>
      </c>
      <c r="B5">
        <v>1297.51</v>
      </c>
    </row>
    <row r="6" spans="1:12">
      <c r="A6" t="s">
        <v>11</v>
      </c>
      <c r="B6" s="1">
        <v>43413</v>
      </c>
    </row>
    <row r="7" spans="1:12">
      <c r="A7" t="s">
        <v>12</v>
      </c>
      <c r="B7" s="1">
        <v>43432</v>
      </c>
    </row>
    <row r="9" spans="1:12">
      <c r="A9" s="4" t="s">
        <v>1</v>
      </c>
      <c r="B9" s="76" t="s">
        <v>137</v>
      </c>
    </row>
    <row r="10" spans="1:12">
      <c r="A10" s="4" t="s">
        <v>3</v>
      </c>
      <c r="B10" s="5" t="s">
        <v>8</v>
      </c>
      <c r="C10" s="88" t="s">
        <v>7</v>
      </c>
      <c r="D10" s="88" t="s">
        <v>6</v>
      </c>
      <c r="E10" s="28" t="s">
        <v>10</v>
      </c>
      <c r="F10" s="5" t="s">
        <v>13</v>
      </c>
      <c r="G10" s="5" t="s">
        <v>15</v>
      </c>
    </row>
    <row r="11" spans="1:12">
      <c r="A11" s="4" t="s">
        <v>4</v>
      </c>
      <c r="B11" s="89">
        <v>113300</v>
      </c>
      <c r="C11" s="89">
        <v>118800</v>
      </c>
      <c r="D11" s="89">
        <v>45141</v>
      </c>
      <c r="E11" s="89">
        <f>B11+C11+D11</f>
        <v>277241</v>
      </c>
      <c r="F11" s="7" t="s">
        <v>14</v>
      </c>
      <c r="G11" s="125">
        <v>12</v>
      </c>
      <c r="K11" s="9"/>
    </row>
    <row r="12" spans="1:12">
      <c r="A12" s="4" t="s">
        <v>5</v>
      </c>
      <c r="B12" s="29">
        <v>179300</v>
      </c>
      <c r="C12" s="29">
        <v>138300</v>
      </c>
      <c r="D12" s="29">
        <v>45141</v>
      </c>
      <c r="E12" s="29">
        <f>B12+C12+D12</f>
        <v>362741</v>
      </c>
      <c r="F12" s="7" t="s">
        <v>14</v>
      </c>
      <c r="G12" s="125"/>
      <c r="K12" s="10"/>
      <c r="L12" s="23"/>
    </row>
    <row r="13" spans="1:12">
      <c r="B13" s="23"/>
      <c r="I13" s="3"/>
      <c r="J13" s="3"/>
      <c r="K13" s="12"/>
    </row>
    <row r="14" spans="1:12">
      <c r="A14" s="4" t="s">
        <v>1</v>
      </c>
      <c r="B14" s="76" t="s">
        <v>138</v>
      </c>
      <c r="I14" s="3"/>
      <c r="J14" s="3"/>
      <c r="K14" s="2"/>
    </row>
    <row r="15" spans="1:12">
      <c r="A15" s="4" t="s">
        <v>3</v>
      </c>
      <c r="B15" s="5" t="s">
        <v>8</v>
      </c>
      <c r="C15" s="5" t="s">
        <v>7</v>
      </c>
      <c r="D15" s="5" t="s">
        <v>6</v>
      </c>
      <c r="E15" s="28" t="s">
        <v>10</v>
      </c>
      <c r="F15" s="5" t="s">
        <v>13</v>
      </c>
      <c r="G15" s="5" t="s">
        <v>15</v>
      </c>
      <c r="I15" s="57" t="s">
        <v>63</v>
      </c>
      <c r="J15" s="12">
        <f>G11+G16+G21</f>
        <v>36</v>
      </c>
      <c r="K15" s="3"/>
    </row>
    <row r="16" spans="1:12">
      <c r="A16" s="4" t="s">
        <v>4</v>
      </c>
      <c r="B16" s="29">
        <v>213900</v>
      </c>
      <c r="C16" s="29">
        <v>121400</v>
      </c>
      <c r="D16" s="29">
        <v>29400</v>
      </c>
      <c r="E16" s="29">
        <f>B16+C16+D16</f>
        <v>364700</v>
      </c>
      <c r="F16" s="7" t="s">
        <v>14</v>
      </c>
      <c r="G16" s="125">
        <v>15</v>
      </c>
      <c r="I16" s="54" t="s">
        <v>61</v>
      </c>
      <c r="J16" s="55">
        <f>(G11*100/(G11+G16+G21))^2+(G16*100/(G11+G16+G21))^2+(G21*100/(G11+G16+G21))^2</f>
        <v>3472.2222222222222</v>
      </c>
      <c r="K16" s="3"/>
      <c r="L16" s="9"/>
    </row>
    <row r="17" spans="1:12">
      <c r="A17" s="4" t="s">
        <v>5</v>
      </c>
      <c r="B17" s="29">
        <v>264300</v>
      </c>
      <c r="C17" s="29">
        <v>129400</v>
      </c>
      <c r="D17" s="29">
        <v>29400</v>
      </c>
      <c r="E17" s="29">
        <f>B17+C17+D17</f>
        <v>423100</v>
      </c>
      <c r="F17" s="7" t="s">
        <v>14</v>
      </c>
      <c r="G17" s="125"/>
      <c r="L17" s="10"/>
    </row>
    <row r="18" spans="1:12">
      <c r="K18" s="3"/>
      <c r="L18" s="3"/>
    </row>
    <row r="19" spans="1:12">
      <c r="A19" s="4" t="s">
        <v>1</v>
      </c>
      <c r="B19" s="76" t="s">
        <v>139</v>
      </c>
      <c r="K19" s="3"/>
      <c r="L19" s="3"/>
    </row>
    <row r="20" spans="1:12">
      <c r="A20" s="4" t="s">
        <v>3</v>
      </c>
      <c r="B20" s="5" t="s">
        <v>8</v>
      </c>
      <c r="C20" s="5" t="s">
        <v>7</v>
      </c>
      <c r="D20" s="5" t="s">
        <v>6</v>
      </c>
      <c r="E20" s="28" t="s">
        <v>10</v>
      </c>
      <c r="F20" s="5" t="s">
        <v>13</v>
      </c>
      <c r="G20" s="5" t="s">
        <v>15</v>
      </c>
      <c r="K20" s="3"/>
      <c r="L20" s="3"/>
    </row>
    <row r="21" spans="1:12">
      <c r="A21" s="4" t="s">
        <v>4</v>
      </c>
      <c r="B21" s="29">
        <v>94400</v>
      </c>
      <c r="C21" s="29">
        <v>240100</v>
      </c>
      <c r="D21" s="29">
        <v>36015</v>
      </c>
      <c r="E21" s="29">
        <f>B21+C21+D21</f>
        <v>370515</v>
      </c>
      <c r="F21" s="7" t="s">
        <v>14</v>
      </c>
      <c r="G21" s="124">
        <v>9</v>
      </c>
      <c r="K21" s="14"/>
      <c r="L21" s="3"/>
    </row>
    <row r="22" spans="1:12">
      <c r="A22" s="4" t="s">
        <v>5</v>
      </c>
      <c r="B22" s="29">
        <v>116400</v>
      </c>
      <c r="C22" s="29">
        <v>243600</v>
      </c>
      <c r="D22" s="29">
        <v>36015</v>
      </c>
      <c r="E22" s="29">
        <f>B22+C22+D22</f>
        <v>396015</v>
      </c>
      <c r="F22" s="7" t="s">
        <v>14</v>
      </c>
      <c r="G22" s="124"/>
      <c r="K22" s="12"/>
      <c r="L22" s="3"/>
    </row>
    <row r="24" spans="1:12" s="42" customFormat="1">
      <c r="B24" s="78" t="s">
        <v>8</v>
      </c>
      <c r="C24" s="78" t="s">
        <v>7</v>
      </c>
      <c r="D24" s="78" t="s">
        <v>6</v>
      </c>
      <c r="E24" s="78" t="s">
        <v>10</v>
      </c>
      <c r="J24" s="13"/>
      <c r="K24" s="47"/>
    </row>
    <row r="25" spans="1:12" s="42" customFormat="1">
      <c r="A25" s="44" t="s">
        <v>19</v>
      </c>
      <c r="B25" s="46">
        <f>(((B11+B12)/2*$G$11+(B16+B17)/2*$G$16+(B21+B22)/2*$G$21)/($J$15))/$B$5</f>
        <v>134.67462036259192</v>
      </c>
      <c r="C25" s="46">
        <f t="shared" ref="C25:D25" si="0">(((C11+C12)/2*$G$11+(C16+C17)/2*$G$16+(C21+C22)/2*$G$21)/($J$15))/$B$5</f>
        <v>119.89310294332992</v>
      </c>
      <c r="D25" s="46">
        <f t="shared" si="0"/>
        <v>27.977241023190572</v>
      </c>
      <c r="E25" s="46">
        <f>B25+C25+D25</f>
        <v>282.54496432911242</v>
      </c>
    </row>
    <row r="28" spans="1:12">
      <c r="A28" t="s">
        <v>9</v>
      </c>
      <c r="B28" s="126" t="s">
        <v>140</v>
      </c>
      <c r="C28" s="127"/>
    </row>
    <row r="29" spans="1:12">
      <c r="A29" t="s">
        <v>18</v>
      </c>
      <c r="B29">
        <v>464.62</v>
      </c>
    </row>
    <row r="30" spans="1:12">
      <c r="A30" t="s">
        <v>11</v>
      </c>
      <c r="B30" s="1">
        <v>43413</v>
      </c>
    </row>
    <row r="31" spans="1:12">
      <c r="A31" t="s">
        <v>12</v>
      </c>
      <c r="B31" s="1">
        <v>43432</v>
      </c>
    </row>
    <row r="33" spans="1:12">
      <c r="A33" s="4" t="s">
        <v>1</v>
      </c>
      <c r="B33" s="76" t="s">
        <v>141</v>
      </c>
    </row>
    <row r="34" spans="1:12">
      <c r="A34" s="4" t="s">
        <v>3</v>
      </c>
      <c r="B34" s="5" t="s">
        <v>8</v>
      </c>
      <c r="C34" s="5" t="s">
        <v>7</v>
      </c>
      <c r="D34" s="5" t="s">
        <v>6</v>
      </c>
      <c r="E34" s="28" t="s">
        <v>10</v>
      </c>
      <c r="F34" s="5" t="s">
        <v>13</v>
      </c>
      <c r="G34" s="5" t="s">
        <v>15</v>
      </c>
    </row>
    <row r="35" spans="1:12">
      <c r="A35" s="4" t="s">
        <v>4</v>
      </c>
      <c r="B35" s="29">
        <v>59800</v>
      </c>
      <c r="C35" s="29">
        <v>110000</v>
      </c>
      <c r="D35" s="29">
        <v>45141</v>
      </c>
      <c r="E35" s="29">
        <f>B35+C35+D35</f>
        <v>214941</v>
      </c>
      <c r="F35" s="7" t="s">
        <v>14</v>
      </c>
      <c r="G35" s="125">
        <v>10</v>
      </c>
    </row>
    <row r="36" spans="1:12">
      <c r="A36" s="4" t="s">
        <v>5</v>
      </c>
      <c r="B36" s="29">
        <v>267400</v>
      </c>
      <c r="C36" s="29">
        <v>150600</v>
      </c>
      <c r="D36" s="29">
        <v>29400</v>
      </c>
      <c r="E36" s="29">
        <f>B36+C36+D36</f>
        <v>447400</v>
      </c>
      <c r="F36" s="7" t="s">
        <v>14</v>
      </c>
      <c r="G36" s="125"/>
    </row>
    <row r="37" spans="1:12">
      <c r="C37" s="23"/>
      <c r="K37" s="82"/>
    </row>
    <row r="38" spans="1:12">
      <c r="A38" s="4" t="s">
        <v>1</v>
      </c>
      <c r="B38" s="76" t="s">
        <v>138</v>
      </c>
      <c r="K38" s="2"/>
    </row>
    <row r="39" spans="1:12">
      <c r="A39" s="4" t="s">
        <v>3</v>
      </c>
      <c r="B39" s="5" t="s">
        <v>8</v>
      </c>
      <c r="C39" s="5" t="s">
        <v>7</v>
      </c>
      <c r="D39" s="5" t="s">
        <v>6</v>
      </c>
      <c r="E39" s="28" t="s">
        <v>10</v>
      </c>
      <c r="F39" s="5" t="s">
        <v>13</v>
      </c>
      <c r="G39" s="5" t="s">
        <v>15</v>
      </c>
      <c r="I39" s="57" t="s">
        <v>63</v>
      </c>
      <c r="J39" s="12">
        <f>G35+G40+G45</f>
        <v>32</v>
      </c>
      <c r="K39" s="3"/>
    </row>
    <row r="40" spans="1:12">
      <c r="A40" s="4" t="s">
        <v>4</v>
      </c>
      <c r="B40" s="29">
        <v>173000</v>
      </c>
      <c r="C40" s="29">
        <v>114800</v>
      </c>
      <c r="D40" s="29">
        <v>29400</v>
      </c>
      <c r="E40" s="29">
        <f>B40+C40+D40</f>
        <v>317200</v>
      </c>
      <c r="F40" s="7" t="s">
        <v>14</v>
      </c>
      <c r="G40" s="125">
        <v>16</v>
      </c>
      <c r="I40" s="54" t="s">
        <v>61</v>
      </c>
      <c r="J40" s="55">
        <f>(G35*100/(G35+G40+G45))^2+(G40*100/(G35+G40+G45))^2+(G45*100/(G35+G40+G45))^2</f>
        <v>3828.125</v>
      </c>
      <c r="L40" s="9"/>
    </row>
    <row r="41" spans="1:12">
      <c r="A41" s="4" t="s">
        <v>5</v>
      </c>
      <c r="B41" s="29">
        <v>475000</v>
      </c>
      <c r="C41" s="29">
        <v>163100</v>
      </c>
      <c r="D41" s="29">
        <v>29400</v>
      </c>
      <c r="E41" s="29">
        <f>B41+C41+D41</f>
        <v>667500</v>
      </c>
      <c r="F41" s="7" t="s">
        <v>14</v>
      </c>
      <c r="G41" s="125"/>
      <c r="L41" s="10"/>
    </row>
    <row r="42" spans="1:12">
      <c r="B42" s="23"/>
      <c r="K42" s="3"/>
      <c r="L42" s="3"/>
    </row>
    <row r="43" spans="1:12">
      <c r="A43" s="4" t="s">
        <v>1</v>
      </c>
      <c r="B43" s="76" t="s">
        <v>139</v>
      </c>
      <c r="K43" s="3"/>
      <c r="L43" s="3"/>
    </row>
    <row r="44" spans="1:12">
      <c r="A44" s="4" t="s">
        <v>3</v>
      </c>
      <c r="B44" s="5" t="s">
        <v>8</v>
      </c>
      <c r="C44" s="5" t="s">
        <v>7</v>
      </c>
      <c r="D44" s="5" t="s">
        <v>6</v>
      </c>
      <c r="E44" s="28" t="s">
        <v>10</v>
      </c>
      <c r="F44" s="5" t="s">
        <v>13</v>
      </c>
      <c r="G44" s="5" t="s">
        <v>15</v>
      </c>
      <c r="K44" s="3"/>
      <c r="L44" s="3"/>
    </row>
    <row r="45" spans="1:12">
      <c r="A45" s="4" t="s">
        <v>4</v>
      </c>
      <c r="B45" s="29">
        <v>85000</v>
      </c>
      <c r="C45" s="29">
        <v>238500</v>
      </c>
      <c r="D45" s="29">
        <v>36015</v>
      </c>
      <c r="E45" s="29">
        <f>B45+C45+D45</f>
        <v>359515</v>
      </c>
      <c r="F45" s="7" t="s">
        <v>14</v>
      </c>
      <c r="G45" s="124">
        <v>6</v>
      </c>
      <c r="K45" s="14"/>
      <c r="L45" s="3"/>
    </row>
    <row r="46" spans="1:12">
      <c r="A46" s="4" t="s">
        <v>5</v>
      </c>
      <c r="B46" s="29">
        <v>103800</v>
      </c>
      <c r="C46" s="29">
        <v>241600</v>
      </c>
      <c r="D46" s="29">
        <v>36015</v>
      </c>
      <c r="E46" s="29">
        <f>B46+C46+D46</f>
        <v>381415</v>
      </c>
      <c r="F46" s="7" t="s">
        <v>14</v>
      </c>
      <c r="G46" s="124"/>
      <c r="K46" s="12"/>
      <c r="L46" s="3"/>
    </row>
    <row r="48" spans="1:12" s="42" customFormat="1">
      <c r="B48" s="78" t="s">
        <v>8</v>
      </c>
      <c r="C48" s="78" t="s">
        <v>7</v>
      </c>
      <c r="D48" s="78" t="s">
        <v>6</v>
      </c>
      <c r="E48" s="78" t="s">
        <v>10</v>
      </c>
      <c r="J48" s="13"/>
      <c r="K48" s="47"/>
    </row>
    <row r="49" spans="1:12" s="42" customFormat="1">
      <c r="A49" s="44" t="s">
        <v>19</v>
      </c>
      <c r="B49" s="46">
        <f>(((B35+B36)/2*$G$35+(B40+B41)/2*$G$40+(B45+B46)/2*$G$45)/($J$39))/$B$29</f>
        <v>496.80383969695663</v>
      </c>
      <c r="C49" s="46">
        <f t="shared" ref="C49:D49" si="1">(((C35+C36)/2*$G$35+(C40+C41)/2*$G$40+(C45+C46)/2*$G$45)/($J$39))/$B$29</f>
        <v>334.04314278334982</v>
      </c>
      <c r="D49" s="46">
        <f t="shared" si="1"/>
        <v>71.240677865782786</v>
      </c>
      <c r="E49" s="46">
        <f>B49+C49+D49</f>
        <v>902.08766034608925</v>
      </c>
    </row>
    <row r="52" spans="1:12">
      <c r="A52" t="s">
        <v>9</v>
      </c>
      <c r="B52" s="126" t="s">
        <v>142</v>
      </c>
      <c r="C52" s="127"/>
    </row>
    <row r="53" spans="1:12">
      <c r="A53" t="s">
        <v>18</v>
      </c>
      <c r="B53">
        <v>704.58</v>
      </c>
    </row>
    <row r="54" spans="1:12">
      <c r="A54" t="s">
        <v>11</v>
      </c>
      <c r="B54" s="1">
        <v>43413</v>
      </c>
    </row>
    <row r="55" spans="1:12">
      <c r="A55" t="s">
        <v>12</v>
      </c>
      <c r="B55" s="1">
        <v>43432</v>
      </c>
    </row>
    <row r="57" spans="1:12">
      <c r="A57" s="4" t="s">
        <v>1</v>
      </c>
      <c r="B57" s="76" t="s">
        <v>138</v>
      </c>
    </row>
    <row r="58" spans="1:12">
      <c r="A58" s="4" t="s">
        <v>3</v>
      </c>
      <c r="B58" s="5" t="s">
        <v>8</v>
      </c>
      <c r="C58" s="5" t="s">
        <v>7</v>
      </c>
      <c r="D58" s="5" t="s">
        <v>6</v>
      </c>
      <c r="E58" s="28" t="s">
        <v>10</v>
      </c>
      <c r="F58" s="5" t="s">
        <v>13</v>
      </c>
      <c r="G58" s="5" t="s">
        <v>15</v>
      </c>
    </row>
    <row r="59" spans="1:12">
      <c r="A59" s="4" t="s">
        <v>4</v>
      </c>
      <c r="B59" s="29">
        <v>204500</v>
      </c>
      <c r="C59" s="29">
        <v>119900</v>
      </c>
      <c r="D59" s="29">
        <v>29400</v>
      </c>
      <c r="E59" s="29">
        <f>B59+C59+D59</f>
        <v>353800</v>
      </c>
      <c r="F59" s="7" t="s">
        <v>14</v>
      </c>
      <c r="G59" s="125">
        <v>18</v>
      </c>
    </row>
    <row r="60" spans="1:12">
      <c r="A60" s="4" t="s">
        <v>5</v>
      </c>
      <c r="B60" s="29">
        <v>821000</v>
      </c>
      <c r="C60" s="29">
        <v>218500</v>
      </c>
      <c r="D60" s="29">
        <v>29400</v>
      </c>
      <c r="E60" s="29">
        <f>B60+C60+D60</f>
        <v>1068900</v>
      </c>
      <c r="F60" s="7" t="s">
        <v>14</v>
      </c>
      <c r="G60" s="125"/>
    </row>
    <row r="61" spans="1:12">
      <c r="K61" s="82"/>
    </row>
    <row r="62" spans="1:12">
      <c r="A62" s="4" t="s">
        <v>1</v>
      </c>
      <c r="B62" s="76" t="s">
        <v>141</v>
      </c>
      <c r="K62" s="2"/>
    </row>
    <row r="63" spans="1:12">
      <c r="A63" s="4" t="s">
        <v>3</v>
      </c>
      <c r="B63" s="5" t="s">
        <v>8</v>
      </c>
      <c r="C63" s="5" t="s">
        <v>7</v>
      </c>
      <c r="D63" s="5" t="s">
        <v>6</v>
      </c>
      <c r="E63" s="28" t="s">
        <v>10</v>
      </c>
      <c r="F63" s="5" t="s">
        <v>13</v>
      </c>
      <c r="G63" s="5" t="s">
        <v>15</v>
      </c>
      <c r="I63" s="57" t="s">
        <v>63</v>
      </c>
      <c r="J63" s="12">
        <f>G59+G64+G69</f>
        <v>32</v>
      </c>
      <c r="K63" s="3"/>
    </row>
    <row r="64" spans="1:12">
      <c r="A64" s="4" t="s">
        <v>4</v>
      </c>
      <c r="B64" s="29">
        <v>100700</v>
      </c>
      <c r="C64" s="29">
        <v>116800</v>
      </c>
      <c r="D64" s="29">
        <v>45141</v>
      </c>
      <c r="E64" s="29">
        <f>B64+C64+D64</f>
        <v>262641</v>
      </c>
      <c r="F64" s="7" t="s">
        <v>14</v>
      </c>
      <c r="G64" s="125">
        <v>14</v>
      </c>
      <c r="I64" s="54" t="s">
        <v>61</v>
      </c>
      <c r="J64" s="55">
        <f>(G59*100/(G59+G64+G69))^2+(G64*100/(G59+G64+G69))^2+(G69*100/(G59+G64+G69))^2</f>
        <v>5078.125</v>
      </c>
      <c r="L64" s="9"/>
    </row>
    <row r="65" spans="1:12">
      <c r="A65" s="4" t="s">
        <v>5</v>
      </c>
      <c r="B65" s="29">
        <v>129000</v>
      </c>
      <c r="C65" s="29">
        <v>121300</v>
      </c>
      <c r="D65" s="29">
        <v>45141</v>
      </c>
      <c r="E65" s="29">
        <f>B65+C65+D65</f>
        <v>295441</v>
      </c>
      <c r="F65" s="7" t="s">
        <v>14</v>
      </c>
      <c r="G65" s="125"/>
      <c r="L65" s="10"/>
    </row>
    <row r="66" spans="1:12">
      <c r="K66" s="3"/>
      <c r="L66" s="3"/>
    </row>
    <row r="67" spans="1:12" hidden="1">
      <c r="K67" s="3"/>
      <c r="L67" s="3"/>
    </row>
    <row r="68" spans="1:12" hidden="1">
      <c r="K68" s="3"/>
      <c r="L68" s="3"/>
    </row>
    <row r="69" spans="1:12" hidden="1">
      <c r="K69" s="14"/>
      <c r="L69" s="3"/>
    </row>
    <row r="70" spans="1:12" hidden="1">
      <c r="K70" s="12"/>
      <c r="L70" s="3"/>
    </row>
    <row r="71" spans="1:12" s="42" customFormat="1">
      <c r="B71" s="78" t="s">
        <v>8</v>
      </c>
      <c r="C71" s="78" t="s">
        <v>7</v>
      </c>
      <c r="D71" s="78" t="s">
        <v>6</v>
      </c>
      <c r="E71" s="78" t="s">
        <v>10</v>
      </c>
      <c r="J71" s="13"/>
      <c r="K71" s="47"/>
    </row>
    <row r="72" spans="1:12" s="42" customFormat="1">
      <c r="A72" s="44" t="s">
        <v>19</v>
      </c>
      <c r="B72" s="46">
        <f>(((B60+B59)/2*$G$59+(B65+B64)/2*$G$64)/($J$63))/$B$53</f>
        <v>480.66756081637283</v>
      </c>
      <c r="C72" s="46">
        <f t="shared" ref="C72:D72" si="2">(((C60+C59)/2*$G$59+(C65+C64)/2*$G$64)/($J$63))/$B$53</f>
        <v>209.00305855970933</v>
      </c>
      <c r="D72" s="46">
        <f t="shared" si="2"/>
        <v>51.501160265690196</v>
      </c>
      <c r="E72" s="46">
        <f>B72+C72+D72</f>
        <v>741.17177964177233</v>
      </c>
    </row>
    <row r="76" spans="1:12">
      <c r="A76" t="s">
        <v>9</v>
      </c>
      <c r="B76" s="126" t="s">
        <v>143</v>
      </c>
      <c r="C76" s="127"/>
    </row>
    <row r="77" spans="1:12">
      <c r="A77" t="s">
        <v>18</v>
      </c>
      <c r="B77" s="90">
        <v>635.70000000000005</v>
      </c>
    </row>
    <row r="78" spans="1:12">
      <c r="A78" t="s">
        <v>11</v>
      </c>
      <c r="B78" s="1">
        <v>43413</v>
      </c>
    </row>
    <row r="79" spans="1:12">
      <c r="A79" t="s">
        <v>12</v>
      </c>
      <c r="B79" s="1">
        <v>43432</v>
      </c>
    </row>
    <row r="81" spans="1:12">
      <c r="A81" s="4" t="s">
        <v>1</v>
      </c>
      <c r="B81" s="76" t="s">
        <v>138</v>
      </c>
    </row>
    <row r="82" spans="1:12">
      <c r="A82" s="4" t="s">
        <v>3</v>
      </c>
      <c r="B82" s="5" t="s">
        <v>8</v>
      </c>
      <c r="C82" s="5" t="s">
        <v>7</v>
      </c>
      <c r="D82" s="5" t="s">
        <v>6</v>
      </c>
      <c r="E82" s="28" t="s">
        <v>10</v>
      </c>
      <c r="F82" s="5" t="s">
        <v>13</v>
      </c>
      <c r="G82" s="5" t="s">
        <v>15</v>
      </c>
    </row>
    <row r="83" spans="1:12">
      <c r="A83" s="4" t="s">
        <v>4</v>
      </c>
      <c r="B83" s="29">
        <v>188800</v>
      </c>
      <c r="C83" s="29">
        <v>105100</v>
      </c>
      <c r="D83" s="29">
        <v>29400</v>
      </c>
      <c r="E83" s="29">
        <f>B83+C83+D83</f>
        <v>323300</v>
      </c>
      <c r="F83" s="7" t="s">
        <v>14</v>
      </c>
      <c r="G83" s="125">
        <v>4</v>
      </c>
    </row>
    <row r="84" spans="1:12">
      <c r="A84" s="4" t="s">
        <v>5</v>
      </c>
      <c r="B84" s="29">
        <v>273700</v>
      </c>
      <c r="C84" s="29">
        <v>118600</v>
      </c>
      <c r="D84" s="29">
        <v>29400</v>
      </c>
      <c r="E84" s="29">
        <f>B84+C84+D84</f>
        <v>421700</v>
      </c>
      <c r="F84" s="7" t="s">
        <v>14</v>
      </c>
      <c r="G84" s="125"/>
    </row>
    <row r="85" spans="1:12">
      <c r="K85" s="82"/>
    </row>
    <row r="86" spans="1:12">
      <c r="A86" s="4" t="s">
        <v>1</v>
      </c>
      <c r="B86" s="76" t="s">
        <v>141</v>
      </c>
      <c r="K86" s="2"/>
    </row>
    <row r="87" spans="1:12">
      <c r="A87" s="4" t="s">
        <v>3</v>
      </c>
      <c r="B87" s="5" t="s">
        <v>8</v>
      </c>
      <c r="C87" s="5" t="s">
        <v>7</v>
      </c>
      <c r="D87" s="5" t="s">
        <v>6</v>
      </c>
      <c r="E87" s="28" t="s">
        <v>10</v>
      </c>
      <c r="F87" s="5" t="s">
        <v>13</v>
      </c>
      <c r="G87" s="5" t="s">
        <v>15</v>
      </c>
      <c r="I87" s="57" t="s">
        <v>63</v>
      </c>
      <c r="J87" s="12">
        <f>G83+G88</f>
        <v>7</v>
      </c>
      <c r="K87" s="3"/>
    </row>
    <row r="88" spans="1:12">
      <c r="A88" s="4" t="s">
        <v>4</v>
      </c>
      <c r="B88" s="29">
        <v>81800</v>
      </c>
      <c r="C88" s="29">
        <v>100400</v>
      </c>
      <c r="D88" s="29">
        <v>45141</v>
      </c>
      <c r="E88" s="29">
        <f>B88+C88+D88</f>
        <v>227341</v>
      </c>
      <c r="F88" s="7" t="s">
        <v>14</v>
      </c>
      <c r="G88" s="125">
        <v>3</v>
      </c>
      <c r="I88" s="54" t="s">
        <v>61</v>
      </c>
      <c r="J88" s="55">
        <f>(G83*100/(G83+G88+G93))^2+(G88*100/(G83+G88+G93))^2+(G93*100/(G83+G88+G93))^2</f>
        <v>5102.0408163265311</v>
      </c>
      <c r="L88" s="9"/>
    </row>
    <row r="89" spans="1:12">
      <c r="A89" s="4" t="s">
        <v>5</v>
      </c>
      <c r="B89" s="29">
        <v>81800</v>
      </c>
      <c r="C89" s="29">
        <v>100400</v>
      </c>
      <c r="D89" s="29">
        <v>45141</v>
      </c>
      <c r="E89" s="29">
        <f>B89+C89+D89</f>
        <v>227341</v>
      </c>
      <c r="F89" s="7" t="s">
        <v>14</v>
      </c>
      <c r="G89" s="125"/>
      <c r="I89" s="3"/>
      <c r="J89" s="3"/>
      <c r="L89" s="10"/>
    </row>
    <row r="90" spans="1:12" hidden="1">
      <c r="I90" s="3"/>
      <c r="J90" s="3"/>
      <c r="K90" s="3"/>
      <c r="L90" s="3"/>
    </row>
    <row r="91" spans="1:12" hidden="1">
      <c r="I91" s="3"/>
      <c r="J91" s="3"/>
      <c r="K91" s="3"/>
      <c r="L91" s="3"/>
    </row>
    <row r="92" spans="1:12" hidden="1">
      <c r="I92" s="3"/>
      <c r="J92" s="3"/>
      <c r="K92" s="3"/>
      <c r="L92" s="3"/>
    </row>
    <row r="93" spans="1:12" hidden="1">
      <c r="I93" s="3"/>
      <c r="J93" s="3"/>
      <c r="K93" s="14"/>
      <c r="L93" s="3"/>
    </row>
    <row r="94" spans="1:12" hidden="1">
      <c r="I94" s="3"/>
      <c r="J94" s="3"/>
      <c r="K94" s="12"/>
      <c r="L94" s="3"/>
    </row>
    <row r="95" spans="1:12">
      <c r="I95" s="3"/>
      <c r="J95" s="3"/>
    </row>
    <row r="96" spans="1:12" s="42" customFormat="1">
      <c r="B96" s="78" t="s">
        <v>8</v>
      </c>
      <c r="C96" s="78" t="s">
        <v>7</v>
      </c>
      <c r="D96" s="78" t="s">
        <v>6</v>
      </c>
      <c r="E96" s="78" t="s">
        <v>10</v>
      </c>
      <c r="J96" s="13"/>
      <c r="K96" s="47"/>
    </row>
    <row r="97" spans="1:12" s="42" customFormat="1">
      <c r="A97" s="44" t="s">
        <v>19</v>
      </c>
      <c r="B97" s="46">
        <f>(((B83+B84)/2*$G$83+(B88+B89)/2*$G$88)/($J$87))/$B$77</f>
        <v>263.01714645272926</v>
      </c>
      <c r="C97" s="46">
        <f t="shared" ref="C97:D97" si="3">(((C83+C84)/2*$G$83+(C88+C89)/2*$G$88)/($J$87))/$B$77</f>
        <v>168.22849951684307</v>
      </c>
      <c r="D97" s="46">
        <f t="shared" si="3"/>
        <v>56.860378884918752</v>
      </c>
      <c r="E97" s="46">
        <f>B97+C97+D97</f>
        <v>488.10602485449112</v>
      </c>
    </row>
    <row r="98" spans="1:12">
      <c r="I98" s="3"/>
      <c r="J98" s="3"/>
    </row>
    <row r="99" spans="1:12">
      <c r="I99" s="3"/>
      <c r="J99" s="3"/>
    </row>
    <row r="100" spans="1:12">
      <c r="A100" t="s">
        <v>9</v>
      </c>
      <c r="B100" s="126" t="s">
        <v>144</v>
      </c>
      <c r="C100" s="127"/>
      <c r="E100"/>
      <c r="I100" s="3"/>
      <c r="J100" s="3"/>
    </row>
    <row r="101" spans="1:12">
      <c r="A101" t="s">
        <v>18</v>
      </c>
      <c r="B101" s="90">
        <v>2302</v>
      </c>
      <c r="E101"/>
      <c r="I101" s="3"/>
      <c r="J101" s="3"/>
    </row>
    <row r="102" spans="1:12">
      <c r="A102" t="s">
        <v>11</v>
      </c>
      <c r="B102" s="1">
        <v>43413</v>
      </c>
      <c r="E102"/>
      <c r="I102" s="3"/>
      <c r="J102" s="3"/>
    </row>
    <row r="103" spans="1:12">
      <c r="A103" t="s">
        <v>12</v>
      </c>
      <c r="B103" s="1">
        <v>43432</v>
      </c>
      <c r="E103"/>
      <c r="I103" s="3"/>
      <c r="J103" s="3"/>
    </row>
    <row r="104" spans="1:12">
      <c r="E104"/>
      <c r="I104" s="3"/>
      <c r="J104" s="3"/>
    </row>
    <row r="105" spans="1:12">
      <c r="A105" s="4" t="s">
        <v>1</v>
      </c>
      <c r="B105" s="76" t="s">
        <v>141</v>
      </c>
      <c r="E105"/>
      <c r="I105" s="3"/>
      <c r="J105" s="3"/>
    </row>
    <row r="106" spans="1:12">
      <c r="A106" s="4" t="s">
        <v>3</v>
      </c>
      <c r="B106" s="5" t="s">
        <v>8</v>
      </c>
      <c r="C106" s="5" t="s">
        <v>7</v>
      </c>
      <c r="D106" s="5" t="s">
        <v>6</v>
      </c>
      <c r="E106" s="5" t="s">
        <v>10</v>
      </c>
      <c r="F106" s="5" t="s">
        <v>13</v>
      </c>
      <c r="G106" s="5" t="s">
        <v>15</v>
      </c>
      <c r="I106" s="3"/>
      <c r="J106" s="3"/>
    </row>
    <row r="107" spans="1:12">
      <c r="A107" s="4" t="s">
        <v>4</v>
      </c>
      <c r="B107" s="29">
        <v>283100</v>
      </c>
      <c r="C107" s="29">
        <v>120800</v>
      </c>
      <c r="D107" s="29">
        <v>45141</v>
      </c>
      <c r="E107" s="29">
        <f>B107+C107+D107</f>
        <v>449041</v>
      </c>
      <c r="F107" s="7" t="s">
        <v>14</v>
      </c>
      <c r="G107" s="125">
        <v>5</v>
      </c>
      <c r="I107" s="3"/>
      <c r="J107" s="3"/>
    </row>
    <row r="108" spans="1:12">
      <c r="A108" s="4" t="s">
        <v>5</v>
      </c>
      <c r="B108" s="29">
        <v>358600</v>
      </c>
      <c r="C108" s="29">
        <v>123800</v>
      </c>
      <c r="D108" s="29">
        <v>29400</v>
      </c>
      <c r="E108" s="29">
        <f>B108+C108+D108</f>
        <v>511800</v>
      </c>
      <c r="F108" s="7" t="s">
        <v>14</v>
      </c>
      <c r="G108" s="125"/>
      <c r="I108" s="3"/>
      <c r="J108" s="3"/>
    </row>
    <row r="109" spans="1:12">
      <c r="I109" s="3"/>
      <c r="J109" s="3"/>
      <c r="K109" s="82"/>
    </row>
    <row r="110" spans="1:12">
      <c r="A110" s="4" t="s">
        <v>1</v>
      </c>
      <c r="B110" s="76" t="s">
        <v>138</v>
      </c>
      <c r="I110" s="3"/>
      <c r="J110" s="3"/>
      <c r="K110" s="2"/>
    </row>
    <row r="111" spans="1:12">
      <c r="A111" s="4" t="s">
        <v>3</v>
      </c>
      <c r="B111" s="5" t="s">
        <v>8</v>
      </c>
      <c r="C111" s="5" t="s">
        <v>7</v>
      </c>
      <c r="D111" s="5" t="s">
        <v>6</v>
      </c>
      <c r="E111" s="28" t="s">
        <v>10</v>
      </c>
      <c r="F111" s="5" t="s">
        <v>13</v>
      </c>
      <c r="G111" s="5" t="s">
        <v>15</v>
      </c>
      <c r="I111" s="57" t="s">
        <v>63</v>
      </c>
      <c r="J111" s="12">
        <f>G107+G112+G117</f>
        <v>16</v>
      </c>
      <c r="K111" s="3"/>
    </row>
    <row r="112" spans="1:12">
      <c r="A112" s="4" t="s">
        <v>4</v>
      </c>
      <c r="B112" s="29">
        <v>352300</v>
      </c>
      <c r="C112" s="29">
        <v>101200</v>
      </c>
      <c r="D112" s="29">
        <v>29400</v>
      </c>
      <c r="E112" s="29">
        <f>B112+C112+D112</f>
        <v>482900</v>
      </c>
      <c r="F112" s="7" t="s">
        <v>14</v>
      </c>
      <c r="G112" s="125">
        <v>5</v>
      </c>
      <c r="I112" s="54" t="s">
        <v>61</v>
      </c>
      <c r="J112" s="55">
        <f>(G107*100/(G107+G112+G117))^2+(G112*100/(G107+G112+G117))^2+(G117*100/(G107+G112+G117))^2</f>
        <v>3359.375</v>
      </c>
      <c r="L112" s="9"/>
    </row>
    <row r="113" spans="1:12">
      <c r="A113" s="4" t="s">
        <v>5</v>
      </c>
      <c r="B113" s="29">
        <v>440400</v>
      </c>
      <c r="C113" s="29">
        <v>104800</v>
      </c>
      <c r="D113" s="29">
        <v>29400</v>
      </c>
      <c r="E113" s="29">
        <f>B113+C113+D113</f>
        <v>574600</v>
      </c>
      <c r="F113" s="7" t="s">
        <v>14</v>
      </c>
      <c r="G113" s="125"/>
      <c r="I113" s="3"/>
      <c r="J113" s="3"/>
      <c r="L113" s="10"/>
    </row>
    <row r="114" spans="1:12">
      <c r="G114" s="23"/>
      <c r="K114" s="3"/>
      <c r="L114" s="3"/>
    </row>
    <row r="115" spans="1:12">
      <c r="A115" s="4" t="s">
        <v>1</v>
      </c>
      <c r="B115" s="76" t="s">
        <v>139</v>
      </c>
      <c r="K115" s="3"/>
      <c r="L115" s="3"/>
    </row>
    <row r="116" spans="1:12">
      <c r="A116" s="4" t="s">
        <v>3</v>
      </c>
      <c r="B116" s="28" t="s">
        <v>8</v>
      </c>
      <c r="C116" s="5" t="s">
        <v>7</v>
      </c>
      <c r="D116" s="5" t="s">
        <v>6</v>
      </c>
      <c r="E116" s="28" t="s">
        <v>10</v>
      </c>
      <c r="F116" s="5" t="s">
        <v>13</v>
      </c>
      <c r="G116" s="5" t="s">
        <v>15</v>
      </c>
      <c r="K116" s="3"/>
      <c r="L116" s="3"/>
    </row>
    <row r="117" spans="1:12">
      <c r="A117" s="4" t="s">
        <v>4</v>
      </c>
      <c r="B117" s="29">
        <v>229700</v>
      </c>
      <c r="C117" s="29">
        <v>234100</v>
      </c>
      <c r="D117" s="29">
        <v>36015</v>
      </c>
      <c r="E117" s="29">
        <f>B117+C117+D117</f>
        <v>499815</v>
      </c>
      <c r="F117" s="7" t="s">
        <v>14</v>
      </c>
      <c r="G117" s="124">
        <v>6</v>
      </c>
      <c r="K117" s="14"/>
      <c r="L117" s="3"/>
    </row>
    <row r="118" spans="1:12">
      <c r="A118" s="4" t="s">
        <v>5</v>
      </c>
      <c r="B118" s="29">
        <v>280000</v>
      </c>
      <c r="C118" s="29">
        <v>236100</v>
      </c>
      <c r="D118" s="29">
        <v>36015</v>
      </c>
      <c r="E118" s="29">
        <f>B118+C118+D118</f>
        <v>552115</v>
      </c>
      <c r="F118" s="7" t="s">
        <v>14</v>
      </c>
      <c r="G118" s="124"/>
      <c r="K118" s="12"/>
      <c r="L118" s="3"/>
    </row>
    <row r="120" spans="1:12" s="42" customFormat="1">
      <c r="B120" s="78" t="s">
        <v>8</v>
      </c>
      <c r="C120" s="78" t="s">
        <v>7</v>
      </c>
      <c r="D120" s="78" t="s">
        <v>6</v>
      </c>
      <c r="E120" s="78" t="s">
        <v>10</v>
      </c>
      <c r="J120" s="13"/>
      <c r="K120" s="47"/>
    </row>
    <row r="121" spans="1:12" s="42" customFormat="1">
      <c r="A121" s="44" t="s">
        <v>19</v>
      </c>
      <c r="B121" s="46">
        <f>(((B107+B108)/2*$G$107+(B112+B113)/2*$G$112+(B117+B118)/2*$G$117)/($J$111))/$B$101</f>
        <v>138.87652041702867</v>
      </c>
      <c r="C121" s="46">
        <f t="shared" ref="C121:D121" si="4">(((C107+C108)/2*$G$107+(C112+C113)/2*$G$112+(C117+C118)/2*$G$117)/($J$111))/$B$101</f>
        <v>68.883036490008692</v>
      </c>
      <c r="D121" s="46">
        <f t="shared" si="4"/>
        <v>14.917530951346656</v>
      </c>
      <c r="E121" s="46">
        <f>B121+C121+D121</f>
        <v>222.67708785838403</v>
      </c>
    </row>
    <row r="124" spans="1:12" s="42" customFormat="1" ht="30">
      <c r="A124" s="77" t="s">
        <v>65</v>
      </c>
      <c r="B124" s="67" t="s">
        <v>78</v>
      </c>
      <c r="C124" s="67" t="s">
        <v>80</v>
      </c>
      <c r="D124" s="44" t="s">
        <v>81</v>
      </c>
      <c r="E124" s="67" t="s">
        <v>79</v>
      </c>
    </row>
    <row r="125" spans="1:12" s="42" customFormat="1">
      <c r="A125" s="56">
        <f>(J15*J16+J39*J40+J63*J64+J87*J88+J111*J112)/(J15+J39+J63+J87+J111)</f>
        <v>4060.6852497096402</v>
      </c>
      <c r="B125" s="63">
        <f>(B25*$J$15+B49*$J$39+B72*$J$63+B97*$J$87+B121*$J$111)/($J$15+$J$39+$J$63+$J$87+$J$111)</f>
        <v>326.75215854732852</v>
      </c>
      <c r="C125" s="63">
        <f t="shared" ref="C125:D125" si="5">(C25*$J$15+C49*$J$39+C72*$J$63+C97*$J$87+C121*$J$111)/($J$15+$J$39+$J$63+$J$87+$J$111)</f>
        <v>194.90535145850251</v>
      </c>
      <c r="D125" s="63">
        <f t="shared" si="5"/>
        <v>45.297745076894095</v>
      </c>
      <c r="E125" s="63">
        <f>B125+C125+D125</f>
        <v>566.9552550827251</v>
      </c>
    </row>
    <row r="126" spans="1:12" s="42" customFormat="1"/>
    <row r="127" spans="1:12" s="42" customFormat="1">
      <c r="A127" s="44" t="s">
        <v>83</v>
      </c>
      <c r="B127" s="68">
        <f>C125/E125</f>
        <v>0.3437755443858857</v>
      </c>
    </row>
    <row r="131" spans="9:12">
      <c r="K131" s="82"/>
    </row>
    <row r="132" spans="9:12">
      <c r="K132" s="2"/>
    </row>
    <row r="133" spans="9:12">
      <c r="I133" s="91"/>
      <c r="K133" s="3"/>
    </row>
    <row r="134" spans="9:12">
      <c r="L134" s="9"/>
    </row>
    <row r="135" spans="9:12">
      <c r="L135" s="10"/>
    </row>
    <row r="136" spans="9:12">
      <c r="K136" s="3"/>
      <c r="L136" s="3"/>
    </row>
    <row r="137" spans="9:12">
      <c r="K137" s="3"/>
      <c r="L137" s="3"/>
    </row>
    <row r="138" spans="9:12">
      <c r="K138" s="3"/>
      <c r="L138" s="3"/>
    </row>
    <row r="139" spans="9:12">
      <c r="K139" s="14"/>
      <c r="L139" s="3"/>
    </row>
    <row r="140" spans="9:12">
      <c r="K140" s="12"/>
      <c r="L140" s="3"/>
    </row>
    <row r="153" spans="9:12">
      <c r="K153" s="82"/>
    </row>
    <row r="154" spans="9:12">
      <c r="K154" s="2"/>
    </row>
    <row r="155" spans="9:12">
      <c r="I155" s="92"/>
      <c r="K155" s="3"/>
    </row>
    <row r="156" spans="9:12">
      <c r="L156" s="9"/>
    </row>
    <row r="157" spans="9:12">
      <c r="L157" s="10"/>
    </row>
    <row r="158" spans="9:12">
      <c r="K158" s="3"/>
      <c r="L158" s="3"/>
    </row>
    <row r="159" spans="9:12">
      <c r="K159" s="3"/>
      <c r="L159" s="3"/>
    </row>
    <row r="160" spans="9:12">
      <c r="K160" s="3"/>
      <c r="L160" s="3"/>
    </row>
    <row r="161" spans="11:12">
      <c r="K161" s="14"/>
      <c r="L161" s="3"/>
    </row>
    <row r="162" spans="11:12">
      <c r="K162" s="12"/>
      <c r="L162" s="3"/>
    </row>
  </sheetData>
  <mergeCells count="18">
    <mergeCell ref="G35:G36"/>
    <mergeCell ref="B4:C4"/>
    <mergeCell ref="G11:G12"/>
    <mergeCell ref="G16:G17"/>
    <mergeCell ref="G21:G22"/>
    <mergeCell ref="B28:C28"/>
    <mergeCell ref="G117:G118"/>
    <mergeCell ref="G40:G41"/>
    <mergeCell ref="G45:G46"/>
    <mergeCell ref="B52:C52"/>
    <mergeCell ref="G59:G60"/>
    <mergeCell ref="G64:G65"/>
    <mergeCell ref="B76:C76"/>
    <mergeCell ref="G83:G84"/>
    <mergeCell ref="G88:G89"/>
    <mergeCell ref="B100:C100"/>
    <mergeCell ref="G107:G108"/>
    <mergeCell ref="G112:G1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L186"/>
  <sheetViews>
    <sheetView topLeftCell="A132" workbookViewId="0">
      <selection activeCell="B186" sqref="B186"/>
    </sheetView>
  </sheetViews>
  <sheetFormatPr baseColWidth="10" defaultRowHeight="15"/>
  <cols>
    <col min="1" max="1" width="19.42578125" bestFit="1" customWidth="1"/>
    <col min="2" max="2" width="15" customWidth="1"/>
    <col min="7" max="7" width="16.140625" bestFit="1" customWidth="1"/>
    <col min="10" max="10" width="13.85546875" bestFit="1" customWidth="1"/>
  </cols>
  <sheetData>
    <row r="4" spans="1:12">
      <c r="A4" s="23" t="s">
        <v>9</v>
      </c>
      <c r="B4" s="23" t="s">
        <v>41</v>
      </c>
      <c r="C4" s="23"/>
      <c r="D4" s="23"/>
      <c r="E4" s="23"/>
      <c r="F4" s="23"/>
      <c r="G4" s="23"/>
    </row>
    <row r="5" spans="1:12">
      <c r="A5" s="23" t="s">
        <v>18</v>
      </c>
      <c r="B5" s="23">
        <v>312.74</v>
      </c>
      <c r="C5" s="23"/>
      <c r="D5" s="23"/>
      <c r="E5" s="23"/>
      <c r="F5" s="23"/>
      <c r="G5" s="23"/>
    </row>
    <row r="6" spans="1:12">
      <c r="A6" s="23" t="s">
        <v>11</v>
      </c>
      <c r="B6" s="25">
        <v>43365</v>
      </c>
      <c r="C6" s="23"/>
      <c r="D6" s="23"/>
      <c r="E6" s="23"/>
      <c r="F6" s="23"/>
      <c r="G6" s="23"/>
    </row>
    <row r="7" spans="1:12">
      <c r="A7" s="23" t="s">
        <v>12</v>
      </c>
      <c r="B7" s="25">
        <v>43369</v>
      </c>
      <c r="C7" s="23"/>
      <c r="D7" s="23"/>
      <c r="E7" s="23"/>
      <c r="F7" s="23"/>
      <c r="G7" s="23"/>
    </row>
    <row r="8" spans="1:12">
      <c r="A8" s="23"/>
      <c r="B8" s="25"/>
      <c r="C8" s="23"/>
      <c r="D8" s="23"/>
      <c r="E8" s="23"/>
      <c r="F8" s="23"/>
      <c r="G8" s="23"/>
    </row>
    <row r="9" spans="1:12">
      <c r="A9" s="26" t="s">
        <v>1</v>
      </c>
      <c r="B9" s="27" t="s">
        <v>42</v>
      </c>
      <c r="C9" s="23"/>
      <c r="D9" s="23"/>
      <c r="E9" s="23"/>
      <c r="F9" s="23"/>
      <c r="G9" s="23"/>
    </row>
    <row r="10" spans="1:12" ht="15.75">
      <c r="A10" s="26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  <c r="J10" s="35"/>
      <c r="K10" s="16"/>
    </row>
    <row r="11" spans="1:12" ht="15.75">
      <c r="A11" s="26" t="s">
        <v>4</v>
      </c>
      <c r="B11" s="29">
        <v>395400</v>
      </c>
      <c r="C11" s="29">
        <v>72600</v>
      </c>
      <c r="D11" s="29">
        <v>29400</v>
      </c>
      <c r="E11" s="29">
        <f>B11+C11+D11</f>
        <v>497400</v>
      </c>
      <c r="F11" s="30" t="s">
        <v>14</v>
      </c>
      <c r="G11" s="125">
        <v>7</v>
      </c>
      <c r="J11" s="35"/>
      <c r="K11" s="16"/>
    </row>
    <row r="12" spans="1:12">
      <c r="A12" s="26" t="s">
        <v>5</v>
      </c>
      <c r="B12" s="29">
        <v>395400</v>
      </c>
      <c r="C12" s="29">
        <v>72600</v>
      </c>
      <c r="D12" s="29">
        <v>29400</v>
      </c>
      <c r="E12" s="29">
        <f>B12+C12+D12</f>
        <v>497400</v>
      </c>
      <c r="F12" s="30" t="s">
        <v>14</v>
      </c>
      <c r="G12" s="125"/>
      <c r="I12" s="16"/>
      <c r="J12" s="36"/>
      <c r="K12" s="16"/>
    </row>
    <row r="13" spans="1:12">
      <c r="A13" s="23"/>
      <c r="B13" s="23"/>
      <c r="C13" s="23"/>
      <c r="D13" s="23"/>
      <c r="E13" s="23"/>
      <c r="F13" s="23"/>
      <c r="G13" s="23"/>
      <c r="I13" s="16"/>
      <c r="J13" s="36"/>
      <c r="K13" s="18"/>
    </row>
    <row r="14" spans="1:12">
      <c r="A14" s="26" t="s">
        <v>1</v>
      </c>
      <c r="B14" s="27" t="s">
        <v>43</v>
      </c>
      <c r="C14" s="23"/>
      <c r="D14" s="23"/>
      <c r="E14" s="23"/>
      <c r="F14" s="23"/>
      <c r="G14" s="23"/>
      <c r="I14" s="16"/>
      <c r="J14" s="36"/>
      <c r="K14" s="18"/>
    </row>
    <row r="15" spans="1:12">
      <c r="A15" s="26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5">
        <f>G11+G16+G21+G26</f>
        <v>14</v>
      </c>
      <c r="K15" s="15"/>
      <c r="L15" s="3"/>
    </row>
    <row r="16" spans="1:12">
      <c r="A16" s="26" t="s">
        <v>4</v>
      </c>
      <c r="B16" s="29">
        <v>395400</v>
      </c>
      <c r="C16" s="29">
        <v>72600</v>
      </c>
      <c r="D16" s="29">
        <v>29400</v>
      </c>
      <c r="E16" s="29">
        <f>B16+C16+D16</f>
        <v>497400</v>
      </c>
      <c r="F16" s="30" t="s">
        <v>14</v>
      </c>
      <c r="G16" s="125">
        <v>1</v>
      </c>
      <c r="I16" s="54" t="s">
        <v>61</v>
      </c>
      <c r="J16" s="55">
        <f>(G11*100/(G11+G16+G21+G26))^2+(G16*100/(G11+G16+G21+G26))^2+(G21*100/(G11+G16+G21+G26))^2+(G26*100/(G11+G16+G21+G26))^2</f>
        <v>3469.3877551020414</v>
      </c>
      <c r="K16" s="17"/>
      <c r="L16" s="14"/>
    </row>
    <row r="17" spans="1:12">
      <c r="A17" s="26" t="s">
        <v>5</v>
      </c>
      <c r="B17" s="29">
        <v>395400</v>
      </c>
      <c r="C17" s="29">
        <v>72600</v>
      </c>
      <c r="D17" s="29">
        <v>29400</v>
      </c>
      <c r="E17" s="29">
        <f>B17+C17+D17</f>
        <v>497400</v>
      </c>
      <c r="F17" s="30" t="s">
        <v>14</v>
      </c>
      <c r="G17" s="125"/>
      <c r="I17" s="17"/>
      <c r="J17" s="12"/>
      <c r="K17" s="17"/>
      <c r="L17" s="12"/>
    </row>
    <row r="18" spans="1:12">
      <c r="A18" s="23"/>
      <c r="B18" s="23"/>
      <c r="C18" s="23"/>
      <c r="D18" s="23"/>
      <c r="E18" s="23"/>
      <c r="F18" s="23"/>
      <c r="G18" s="23"/>
      <c r="I18" s="24"/>
      <c r="J18" s="13"/>
      <c r="K18" s="24"/>
      <c r="L18" s="3"/>
    </row>
    <row r="19" spans="1:12">
      <c r="A19" s="26" t="s">
        <v>1</v>
      </c>
      <c r="B19" s="27" t="s">
        <v>44</v>
      </c>
      <c r="C19" s="23"/>
      <c r="D19" s="23"/>
      <c r="E19" s="23"/>
      <c r="F19" s="23"/>
      <c r="G19" s="23"/>
      <c r="J19" s="3"/>
      <c r="K19" s="3"/>
      <c r="L19" s="3"/>
    </row>
    <row r="20" spans="1:12">
      <c r="A20" s="26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J20" s="14"/>
      <c r="K20" s="3"/>
      <c r="L20" s="3"/>
    </row>
    <row r="21" spans="1:12" ht="15.75">
      <c r="A21" s="26" t="s">
        <v>4</v>
      </c>
      <c r="B21" s="29">
        <v>406000</v>
      </c>
      <c r="C21" s="29">
        <v>73400</v>
      </c>
      <c r="D21" s="29">
        <v>29400</v>
      </c>
      <c r="E21" s="29">
        <f>B21+C21+D21</f>
        <v>508800</v>
      </c>
      <c r="F21" s="30" t="s">
        <v>14</v>
      </c>
      <c r="G21" s="125">
        <v>3</v>
      </c>
      <c r="J21" s="35"/>
      <c r="K21" s="14"/>
      <c r="L21" s="3"/>
    </row>
    <row r="22" spans="1:12">
      <c r="A22" s="26" t="s">
        <v>5</v>
      </c>
      <c r="B22" s="29">
        <v>406000</v>
      </c>
      <c r="C22" s="29">
        <v>73400</v>
      </c>
      <c r="D22" s="29">
        <v>29400</v>
      </c>
      <c r="E22" s="29">
        <f>B22+C22+D22</f>
        <v>508800</v>
      </c>
      <c r="F22" s="30" t="s">
        <v>14</v>
      </c>
      <c r="G22" s="125"/>
      <c r="J22" s="36"/>
      <c r="K22" s="12"/>
      <c r="L22" s="3"/>
    </row>
    <row r="23" spans="1:12">
      <c r="A23" s="23"/>
      <c r="B23" s="23"/>
      <c r="C23" s="23"/>
      <c r="D23" s="23"/>
      <c r="E23" s="23"/>
      <c r="F23" s="23"/>
      <c r="G23" s="23"/>
      <c r="J23" s="36"/>
      <c r="K23" s="3"/>
    </row>
    <row r="24" spans="1:12">
      <c r="A24" s="26" t="s">
        <v>1</v>
      </c>
      <c r="B24" s="27" t="s">
        <v>45</v>
      </c>
      <c r="C24" s="23"/>
      <c r="D24" s="23"/>
      <c r="E24" s="23"/>
      <c r="F24" s="23"/>
      <c r="G24" s="23"/>
      <c r="J24" s="36"/>
    </row>
    <row r="25" spans="1:12">
      <c r="A25" s="26" t="s">
        <v>3</v>
      </c>
      <c r="B25" s="28" t="s">
        <v>8</v>
      </c>
      <c r="C25" s="28" t="s">
        <v>7</v>
      </c>
      <c r="D25" s="28" t="s">
        <v>6</v>
      </c>
      <c r="E25" s="28" t="s">
        <v>10</v>
      </c>
      <c r="F25" s="28" t="s">
        <v>13</v>
      </c>
      <c r="G25" s="28" t="s">
        <v>15</v>
      </c>
      <c r="J25" s="37"/>
    </row>
    <row r="26" spans="1:12">
      <c r="A26" s="26" t="s">
        <v>4</v>
      </c>
      <c r="B26" s="29">
        <v>406000</v>
      </c>
      <c r="C26" s="29">
        <v>73400</v>
      </c>
      <c r="D26" s="29">
        <v>29400</v>
      </c>
      <c r="E26" s="29">
        <f>B26+C26+D26</f>
        <v>508800</v>
      </c>
      <c r="F26" s="30" t="s">
        <v>14</v>
      </c>
      <c r="G26" s="125">
        <v>3</v>
      </c>
      <c r="J26" s="36"/>
    </row>
    <row r="27" spans="1:12">
      <c r="A27" s="26" t="s">
        <v>5</v>
      </c>
      <c r="B27" s="29">
        <v>406000</v>
      </c>
      <c r="C27" s="29">
        <v>73400</v>
      </c>
      <c r="D27" s="29">
        <v>29400</v>
      </c>
      <c r="E27" s="29">
        <f>B27+C27+D27</f>
        <v>508800</v>
      </c>
      <c r="F27" s="30" t="s">
        <v>14</v>
      </c>
      <c r="G27" s="125"/>
      <c r="J27" s="36"/>
    </row>
    <row r="29" spans="1:12">
      <c r="A29" s="23"/>
      <c r="B29" s="31" t="s">
        <v>8</v>
      </c>
      <c r="C29" s="31" t="s">
        <v>7</v>
      </c>
      <c r="D29" s="31" t="s">
        <v>6</v>
      </c>
      <c r="E29" s="31" t="s">
        <v>10</v>
      </c>
    </row>
    <row r="30" spans="1:12">
      <c r="A30" s="26" t="s">
        <v>19</v>
      </c>
      <c r="B30" s="29">
        <f>(((B11+B12)/2*$G$11+(B16+B17)/2*$G$16+(B21+B22)/2*$G$21+(B26+B27)/2*$G$26)/($G$11+$G$16+$G$21+$G$26))/$B$5</f>
        <v>1278.8349975790022</v>
      </c>
      <c r="C30" s="29">
        <f t="shared" ref="C30:D30" si="0">(((C11+C12)/2*$G$11+(C16+C17)/2*$G$16+(C21+C22)/2*$G$21+(C26+C27)/2*$G$26)/($G$11+$G$16+$G$21+$G$26))/$B$5</f>
        <v>233.23801606080815</v>
      </c>
      <c r="D30" s="29">
        <f t="shared" si="0"/>
        <v>94.007802008057809</v>
      </c>
      <c r="E30" s="29">
        <f>B30+C30+D30</f>
        <v>1606.0808156478681</v>
      </c>
    </row>
    <row r="34" spans="1:10">
      <c r="A34" s="23" t="s">
        <v>9</v>
      </c>
      <c r="B34" s="23" t="s">
        <v>46</v>
      </c>
      <c r="C34" s="23"/>
      <c r="D34" s="23"/>
      <c r="E34" s="23"/>
      <c r="F34" s="23"/>
      <c r="G34" s="23"/>
    </row>
    <row r="35" spans="1:10">
      <c r="A35" s="23" t="s">
        <v>18</v>
      </c>
      <c r="B35" s="23">
        <v>938</v>
      </c>
      <c r="C35" s="23"/>
      <c r="D35" s="23"/>
      <c r="E35" s="23"/>
      <c r="F35" s="23"/>
      <c r="G35" s="23"/>
    </row>
    <row r="36" spans="1:10">
      <c r="A36" s="23" t="s">
        <v>11</v>
      </c>
      <c r="B36" s="25">
        <v>43365</v>
      </c>
      <c r="C36" s="23"/>
      <c r="D36" s="23"/>
      <c r="E36" s="23"/>
      <c r="F36" s="23"/>
      <c r="G36" s="23"/>
    </row>
    <row r="37" spans="1:10">
      <c r="A37" s="23" t="s">
        <v>12</v>
      </c>
      <c r="B37" s="25">
        <v>43369</v>
      </c>
      <c r="C37" s="23"/>
      <c r="D37" s="23"/>
      <c r="E37" s="23"/>
      <c r="F37" s="23"/>
      <c r="G37" s="23"/>
    </row>
    <row r="38" spans="1:10">
      <c r="A38" s="23"/>
      <c r="B38" s="25"/>
      <c r="C38" s="23"/>
      <c r="D38" s="23"/>
      <c r="E38" s="23"/>
      <c r="F38" s="23"/>
      <c r="G38" s="23"/>
    </row>
    <row r="39" spans="1:10">
      <c r="A39" s="26" t="s">
        <v>1</v>
      </c>
      <c r="B39" s="27" t="s">
        <v>47</v>
      </c>
      <c r="C39" s="23"/>
      <c r="D39" s="23"/>
      <c r="E39" s="23"/>
      <c r="F39" s="23"/>
      <c r="G39" s="23"/>
    </row>
    <row r="40" spans="1:10" ht="15.75">
      <c r="A40" s="26" t="s">
        <v>3</v>
      </c>
      <c r="B40" s="28" t="s">
        <v>8</v>
      </c>
      <c r="C40" s="28" t="s">
        <v>7</v>
      </c>
      <c r="D40" s="28" t="s">
        <v>6</v>
      </c>
      <c r="E40" s="28" t="s">
        <v>10</v>
      </c>
      <c r="F40" s="28" t="s">
        <v>13</v>
      </c>
      <c r="G40" s="28" t="s">
        <v>15</v>
      </c>
      <c r="J40" s="35"/>
    </row>
    <row r="41" spans="1:10">
      <c r="A41" s="26" t="s">
        <v>4</v>
      </c>
      <c r="B41" s="29">
        <v>361800</v>
      </c>
      <c r="C41" s="29">
        <v>70100</v>
      </c>
      <c r="D41" s="29">
        <v>29400</v>
      </c>
      <c r="E41" s="29">
        <f>B41+C41+D41</f>
        <v>461300</v>
      </c>
      <c r="F41" s="30" t="s">
        <v>14</v>
      </c>
      <c r="G41" s="125">
        <v>2</v>
      </c>
      <c r="J41" s="36"/>
    </row>
    <row r="42" spans="1:10">
      <c r="A42" s="26" t="s">
        <v>5</v>
      </c>
      <c r="B42" s="29">
        <v>361800</v>
      </c>
      <c r="C42" s="29">
        <v>70100</v>
      </c>
      <c r="D42" s="29">
        <v>29400</v>
      </c>
      <c r="E42" s="29">
        <f>B42+C42+D42</f>
        <v>461300</v>
      </c>
      <c r="F42" s="30" t="s">
        <v>14</v>
      </c>
      <c r="G42" s="125"/>
      <c r="J42" s="36"/>
    </row>
    <row r="43" spans="1:10">
      <c r="A43" s="23"/>
      <c r="B43" s="23"/>
      <c r="C43" s="23"/>
      <c r="D43" s="23"/>
      <c r="E43" s="23"/>
      <c r="F43" s="23"/>
      <c r="G43" s="23"/>
      <c r="J43" s="36"/>
    </row>
    <row r="44" spans="1:10">
      <c r="A44" s="26" t="s">
        <v>1</v>
      </c>
      <c r="B44" s="27" t="s">
        <v>43</v>
      </c>
      <c r="C44" s="23"/>
      <c r="D44" s="23"/>
      <c r="E44" s="23"/>
      <c r="F44" s="23"/>
      <c r="G44" s="23"/>
    </row>
    <row r="45" spans="1:10">
      <c r="A45" s="26" t="s">
        <v>3</v>
      </c>
      <c r="B45" s="28" t="s">
        <v>8</v>
      </c>
      <c r="C45" s="28" t="s">
        <v>7</v>
      </c>
      <c r="D45" s="28" t="s">
        <v>6</v>
      </c>
      <c r="E45" s="28" t="s">
        <v>10</v>
      </c>
      <c r="F45" s="28" t="s">
        <v>13</v>
      </c>
      <c r="G45" s="28" t="s">
        <v>15</v>
      </c>
      <c r="I45" s="57" t="s">
        <v>63</v>
      </c>
      <c r="J45" s="15">
        <f>G41+G46+G51+G56</f>
        <v>31</v>
      </c>
    </row>
    <row r="46" spans="1:10">
      <c r="A46" s="26" t="s">
        <v>4</v>
      </c>
      <c r="B46" s="29">
        <v>370200</v>
      </c>
      <c r="C46" s="29">
        <v>70700</v>
      </c>
      <c r="D46" s="29">
        <v>29400</v>
      </c>
      <c r="E46" s="29">
        <f>B46+C46+D46</f>
        <v>470300</v>
      </c>
      <c r="F46" s="30" t="s">
        <v>14</v>
      </c>
      <c r="G46" s="125">
        <v>23</v>
      </c>
      <c r="I46" s="54" t="s">
        <v>61</v>
      </c>
      <c r="J46" s="55">
        <f>(G41*100/(G41+G46+G51+G56))^2+(G46*100/(G41+G46+G51+G56))^2+(G51*100/(G41+G46+G51+G56))^2+(G56*100/(G41+G46+G51+G56))^2</f>
        <v>5920.9157127991666</v>
      </c>
    </row>
    <row r="47" spans="1:10" ht="15.75">
      <c r="A47" s="26" t="s">
        <v>5</v>
      </c>
      <c r="B47" s="29">
        <v>555200</v>
      </c>
      <c r="C47" s="29">
        <v>84600</v>
      </c>
      <c r="D47" s="29">
        <v>29400</v>
      </c>
      <c r="E47" s="29">
        <f>B47+C47+D47</f>
        <v>669200</v>
      </c>
      <c r="F47" s="30" t="s">
        <v>14</v>
      </c>
      <c r="G47" s="125"/>
      <c r="J47" s="35"/>
    </row>
    <row r="48" spans="1:10">
      <c r="A48" s="23"/>
      <c r="B48" s="23"/>
      <c r="C48" s="23"/>
      <c r="D48" s="23"/>
      <c r="E48" s="23"/>
      <c r="F48" s="23"/>
      <c r="G48" s="23"/>
      <c r="J48" s="36"/>
    </row>
    <row r="49" spans="1:10">
      <c r="A49" s="26" t="s">
        <v>1</v>
      </c>
      <c r="B49" s="27" t="s">
        <v>42</v>
      </c>
      <c r="C49" s="23"/>
      <c r="D49" s="23"/>
      <c r="E49" s="23"/>
      <c r="F49" s="23"/>
      <c r="G49" s="23"/>
      <c r="J49" s="36"/>
    </row>
    <row r="50" spans="1:10">
      <c r="A50" s="26" t="s">
        <v>3</v>
      </c>
      <c r="B50" s="28" t="s">
        <v>8</v>
      </c>
      <c r="C50" s="28" t="s">
        <v>7</v>
      </c>
      <c r="D50" s="28" t="s">
        <v>6</v>
      </c>
      <c r="E50" s="28" t="s">
        <v>10</v>
      </c>
      <c r="F50" s="28" t="s">
        <v>13</v>
      </c>
      <c r="G50" s="28" t="s">
        <v>15</v>
      </c>
      <c r="J50" s="36"/>
    </row>
    <row r="51" spans="1:10" ht="15.75">
      <c r="A51" s="26" t="s">
        <v>4</v>
      </c>
      <c r="B51" s="29">
        <v>440300</v>
      </c>
      <c r="C51" s="29">
        <v>76000</v>
      </c>
      <c r="D51" s="29">
        <v>29400</v>
      </c>
      <c r="E51" s="29">
        <f>B51+C51+D51</f>
        <v>545700</v>
      </c>
      <c r="F51" s="30" t="s">
        <v>14</v>
      </c>
      <c r="G51" s="125">
        <v>6</v>
      </c>
      <c r="I51" s="35"/>
    </row>
    <row r="52" spans="1:10">
      <c r="A52" s="26" t="s">
        <v>5</v>
      </c>
      <c r="B52" s="29">
        <v>440300</v>
      </c>
      <c r="C52" s="29">
        <v>76000</v>
      </c>
      <c r="D52" s="29">
        <v>29400</v>
      </c>
      <c r="E52" s="29">
        <f>B52+C52+D52</f>
        <v>545700</v>
      </c>
      <c r="F52" s="30" t="s">
        <v>14</v>
      </c>
      <c r="G52" s="125"/>
      <c r="I52" s="36"/>
    </row>
    <row r="53" spans="1:10">
      <c r="A53" s="23"/>
      <c r="B53" s="23"/>
      <c r="C53" s="23"/>
      <c r="D53" s="23"/>
      <c r="E53" s="23"/>
      <c r="F53" s="23"/>
      <c r="G53" s="23"/>
      <c r="I53" s="36"/>
    </row>
    <row r="54" spans="1:10">
      <c r="A54" s="23"/>
      <c r="B54" s="31" t="s">
        <v>8</v>
      </c>
      <c r="C54" s="31" t="s">
        <v>7</v>
      </c>
      <c r="D54" s="31" t="s">
        <v>6</v>
      </c>
      <c r="E54" s="31" t="s">
        <v>10</v>
      </c>
    </row>
    <row r="55" spans="1:10">
      <c r="A55" s="26" t="s">
        <v>19</v>
      </c>
      <c r="B55" s="29">
        <f>(((B41+B42)/2*$G$41+(B46+B47)/2*$G$46+(B51+B52)/2*$G$51)/($G$41+$G$46+$G$51))/$B$35</f>
        <v>481.72157644954945</v>
      </c>
      <c r="C55" s="29">
        <f t="shared" ref="C55:D55" si="1">(((C41+C42)/2*$G$41+(C46+C47)/2*$G$46+(C51+C52)/2*$G$51)/($G$41+$G$46+$G$51))/$B$35</f>
        <v>81.922759474516809</v>
      </c>
      <c r="D55" s="29">
        <f t="shared" si="1"/>
        <v>31.343283582089551</v>
      </c>
      <c r="E55" s="29">
        <f>B55+C55+D55</f>
        <v>594.98761950615574</v>
      </c>
    </row>
    <row r="59" spans="1:10">
      <c r="A59" s="23" t="s">
        <v>9</v>
      </c>
      <c r="B59" s="23" t="s">
        <v>48</v>
      </c>
      <c r="C59" s="23"/>
      <c r="D59" s="23"/>
      <c r="E59" s="23"/>
      <c r="F59" s="23"/>
      <c r="G59" s="23"/>
    </row>
    <row r="60" spans="1:10">
      <c r="A60" s="23" t="s">
        <v>18</v>
      </c>
      <c r="B60" s="23">
        <v>544.75</v>
      </c>
      <c r="C60" s="23"/>
      <c r="D60" s="23"/>
      <c r="E60" s="23"/>
      <c r="F60" s="23"/>
      <c r="G60" s="23"/>
    </row>
    <row r="61" spans="1:10">
      <c r="A61" s="23" t="s">
        <v>11</v>
      </c>
      <c r="B61" s="25">
        <v>43365</v>
      </c>
      <c r="C61" s="23"/>
      <c r="D61" s="23"/>
      <c r="E61" s="23"/>
      <c r="F61" s="23"/>
      <c r="G61" s="23"/>
    </row>
    <row r="62" spans="1:10">
      <c r="A62" s="23" t="s">
        <v>12</v>
      </c>
      <c r="B62" s="25">
        <v>43369</v>
      </c>
      <c r="C62" s="23"/>
      <c r="D62" s="23"/>
      <c r="E62" s="23"/>
      <c r="F62" s="23"/>
      <c r="G62" s="23"/>
    </row>
    <row r="63" spans="1:10">
      <c r="A63" s="23"/>
      <c r="B63" s="25"/>
      <c r="C63" s="23"/>
      <c r="D63" s="23"/>
      <c r="E63" s="23"/>
      <c r="F63" s="23"/>
      <c r="G63" s="23"/>
    </row>
    <row r="64" spans="1:10">
      <c r="A64" s="26" t="s">
        <v>1</v>
      </c>
      <c r="B64" s="27" t="s">
        <v>43</v>
      </c>
      <c r="C64" s="23"/>
      <c r="D64" s="23"/>
      <c r="E64" s="23"/>
      <c r="F64" s="23"/>
      <c r="G64" s="23"/>
    </row>
    <row r="65" spans="1:11" ht="15.75">
      <c r="A65" s="26" t="s">
        <v>3</v>
      </c>
      <c r="B65" s="28" t="s">
        <v>8</v>
      </c>
      <c r="C65" s="28" t="s">
        <v>7</v>
      </c>
      <c r="D65" s="28" t="s">
        <v>6</v>
      </c>
      <c r="E65" s="28" t="s">
        <v>10</v>
      </c>
      <c r="F65" s="28" t="s">
        <v>13</v>
      </c>
      <c r="G65" s="28" t="s">
        <v>15</v>
      </c>
      <c r="J65" s="35"/>
    </row>
    <row r="66" spans="1:11" ht="15.75">
      <c r="A66" s="26" t="s">
        <v>4</v>
      </c>
      <c r="B66" s="29">
        <v>103800</v>
      </c>
      <c r="C66" s="29">
        <v>50700</v>
      </c>
      <c r="D66" s="29">
        <v>29400</v>
      </c>
      <c r="E66" s="29">
        <f>B66+C66+D66</f>
        <v>183900</v>
      </c>
      <c r="F66" s="30" t="s">
        <v>14</v>
      </c>
      <c r="G66" s="125">
        <v>18</v>
      </c>
      <c r="J66" s="36"/>
      <c r="K66" s="35"/>
    </row>
    <row r="67" spans="1:11">
      <c r="A67" s="26" t="s">
        <v>5</v>
      </c>
      <c r="B67" s="29">
        <v>886100</v>
      </c>
      <c r="C67" s="29">
        <v>109400</v>
      </c>
      <c r="D67" s="29">
        <v>29400</v>
      </c>
      <c r="E67" s="29">
        <f>B67+C67+D67</f>
        <v>1024900</v>
      </c>
      <c r="F67" s="30" t="s">
        <v>14</v>
      </c>
      <c r="G67" s="125"/>
      <c r="J67" s="36"/>
      <c r="K67" s="36"/>
    </row>
    <row r="68" spans="1:11">
      <c r="A68" s="23"/>
      <c r="B68" s="23"/>
      <c r="C68" s="23"/>
      <c r="D68" s="23"/>
      <c r="E68" s="23"/>
      <c r="F68" s="23"/>
      <c r="G68" s="23"/>
      <c r="J68" s="36"/>
      <c r="K68" s="36"/>
    </row>
    <row r="69" spans="1:11">
      <c r="A69" s="26" t="s">
        <v>1</v>
      </c>
      <c r="B69" s="27" t="s">
        <v>49</v>
      </c>
      <c r="C69" s="23"/>
      <c r="D69" s="23"/>
      <c r="E69" s="23"/>
      <c r="F69" s="23"/>
      <c r="G69" s="23"/>
      <c r="K69" s="36"/>
    </row>
    <row r="70" spans="1:11">
      <c r="A70" s="26" t="s">
        <v>3</v>
      </c>
      <c r="B70" s="28" t="s">
        <v>8</v>
      </c>
      <c r="C70" s="28" t="s">
        <v>7</v>
      </c>
      <c r="D70" s="28" t="s">
        <v>6</v>
      </c>
      <c r="E70" s="28" t="s">
        <v>10</v>
      </c>
      <c r="F70" s="28" t="s">
        <v>13</v>
      </c>
      <c r="G70" s="28" t="s">
        <v>15</v>
      </c>
      <c r="I70" s="57" t="s">
        <v>63</v>
      </c>
      <c r="J70" s="15">
        <f>G66+G71+G76+G81</f>
        <v>70</v>
      </c>
    </row>
    <row r="71" spans="1:11">
      <c r="A71" s="26" t="s">
        <v>4</v>
      </c>
      <c r="B71" s="29">
        <v>103800</v>
      </c>
      <c r="C71" s="29">
        <v>50700</v>
      </c>
      <c r="D71" s="29">
        <v>36015</v>
      </c>
      <c r="E71" s="29">
        <f>B71+C71+D71</f>
        <v>190515</v>
      </c>
      <c r="F71" s="30" t="s">
        <v>14</v>
      </c>
      <c r="G71" s="125">
        <v>11</v>
      </c>
      <c r="I71" s="54" t="s">
        <v>61</v>
      </c>
      <c r="J71" s="55">
        <f>(G66*100/(G66+G71+G76+G81))^2+(G71*100/(G66+G71+G76+G81))^2+(G76*100/(G66+G71+G76+G81))^2+(G81*100/(G66+G71+G76+G81))^2</f>
        <v>2648.9795918367345</v>
      </c>
    </row>
    <row r="72" spans="1:11">
      <c r="A72" s="26" t="s">
        <v>5</v>
      </c>
      <c r="B72" s="29">
        <v>459900</v>
      </c>
      <c r="C72" s="29">
        <v>77400</v>
      </c>
      <c r="D72" s="29">
        <v>36015</v>
      </c>
      <c r="E72" s="29">
        <f>B72+C72+D72</f>
        <v>573315</v>
      </c>
      <c r="F72" s="30" t="s">
        <v>14</v>
      </c>
      <c r="G72" s="125"/>
      <c r="J72" s="36"/>
    </row>
    <row r="73" spans="1:11">
      <c r="A73" s="23"/>
      <c r="B73" s="23"/>
      <c r="C73" s="23"/>
      <c r="D73" s="23"/>
      <c r="E73" s="23"/>
      <c r="F73" s="23"/>
      <c r="G73" s="23"/>
      <c r="J73" s="36"/>
    </row>
    <row r="74" spans="1:11">
      <c r="A74" s="26" t="s">
        <v>1</v>
      </c>
      <c r="B74" s="27" t="s">
        <v>42</v>
      </c>
      <c r="C74" s="23"/>
      <c r="D74" s="23"/>
      <c r="E74" s="23"/>
      <c r="F74" s="23"/>
      <c r="G74" s="23"/>
    </row>
    <row r="75" spans="1:11" ht="15.75">
      <c r="A75" s="26" t="s">
        <v>3</v>
      </c>
      <c r="B75" s="28" t="s">
        <v>8</v>
      </c>
      <c r="C75" s="28" t="s">
        <v>7</v>
      </c>
      <c r="D75" s="28" t="s">
        <v>6</v>
      </c>
      <c r="E75" s="28" t="s">
        <v>10</v>
      </c>
      <c r="F75" s="28" t="s">
        <v>13</v>
      </c>
      <c r="G75" s="28" t="s">
        <v>15</v>
      </c>
      <c r="J75" s="35"/>
    </row>
    <row r="76" spans="1:11">
      <c r="A76" s="26" t="s">
        <v>4</v>
      </c>
      <c r="B76" s="29">
        <v>173900</v>
      </c>
      <c r="C76" s="29">
        <v>56000</v>
      </c>
      <c r="D76" s="29">
        <v>29400</v>
      </c>
      <c r="E76" s="29">
        <f>B76+C76+D76</f>
        <v>259300</v>
      </c>
      <c r="F76" s="30" t="s">
        <v>14</v>
      </c>
      <c r="G76" s="125">
        <v>18</v>
      </c>
      <c r="J76" s="36"/>
    </row>
    <row r="77" spans="1:11">
      <c r="A77" s="26" t="s">
        <v>5</v>
      </c>
      <c r="B77" s="29">
        <v>420600</v>
      </c>
      <c r="C77" s="29">
        <v>74500</v>
      </c>
      <c r="D77" s="29">
        <v>29400</v>
      </c>
      <c r="E77" s="29">
        <f>B77+C77+D77</f>
        <v>524500</v>
      </c>
      <c r="F77" s="30" t="s">
        <v>14</v>
      </c>
      <c r="G77" s="125"/>
      <c r="J77" s="36"/>
    </row>
    <row r="78" spans="1:11">
      <c r="A78" s="23"/>
      <c r="B78" s="23"/>
      <c r="C78" s="23"/>
      <c r="D78" s="23"/>
      <c r="E78" s="23"/>
      <c r="F78" s="23"/>
      <c r="G78" s="23"/>
      <c r="J78" s="36"/>
    </row>
    <row r="79" spans="1:11">
      <c r="A79" s="26" t="s">
        <v>1</v>
      </c>
      <c r="B79" s="27" t="s">
        <v>44</v>
      </c>
      <c r="C79" s="23"/>
      <c r="D79" s="23"/>
      <c r="E79" s="23"/>
      <c r="F79" s="23"/>
      <c r="G79" s="23"/>
    </row>
    <row r="80" spans="1:11">
      <c r="A80" s="26" t="s">
        <v>3</v>
      </c>
      <c r="B80" s="28" t="s">
        <v>8</v>
      </c>
      <c r="C80" s="28" t="s">
        <v>7</v>
      </c>
      <c r="D80" s="28" t="s">
        <v>6</v>
      </c>
      <c r="E80" s="28" t="s">
        <v>10</v>
      </c>
      <c r="F80" s="28" t="s">
        <v>13</v>
      </c>
      <c r="G80" s="28" t="s">
        <v>15</v>
      </c>
    </row>
    <row r="81" spans="1:11" ht="15.75">
      <c r="A81" s="26" t="s">
        <v>4</v>
      </c>
      <c r="B81" s="29">
        <v>173900</v>
      </c>
      <c r="C81" s="29">
        <v>56000</v>
      </c>
      <c r="D81" s="29">
        <v>29400</v>
      </c>
      <c r="E81" s="29">
        <f>B81+C81+D81</f>
        <v>259300</v>
      </c>
      <c r="F81" s="30" t="s">
        <v>14</v>
      </c>
      <c r="G81" s="125">
        <v>23</v>
      </c>
      <c r="J81" s="35"/>
    </row>
    <row r="82" spans="1:11">
      <c r="A82" s="26" t="s">
        <v>5</v>
      </c>
      <c r="B82" s="29">
        <v>998200</v>
      </c>
      <c r="C82" s="29">
        <v>117800</v>
      </c>
      <c r="D82" s="29">
        <v>29400</v>
      </c>
      <c r="E82" s="29">
        <f>B82+C82+D82</f>
        <v>1145400</v>
      </c>
      <c r="F82" s="30" t="s">
        <v>14</v>
      </c>
      <c r="G82" s="125"/>
      <c r="J82" s="36"/>
    </row>
    <row r="83" spans="1:11">
      <c r="A83" s="23"/>
      <c r="B83" s="23"/>
      <c r="C83" s="23"/>
      <c r="D83" s="23"/>
      <c r="E83" s="23"/>
      <c r="F83" s="23"/>
      <c r="G83" s="23"/>
      <c r="J83" s="36"/>
    </row>
    <row r="84" spans="1:11">
      <c r="A84" s="23"/>
      <c r="B84" s="31" t="s">
        <v>8</v>
      </c>
      <c r="C84" s="31" t="s">
        <v>7</v>
      </c>
      <c r="D84" s="31" t="s">
        <v>6</v>
      </c>
      <c r="E84" s="31" t="s">
        <v>10</v>
      </c>
    </row>
    <row r="85" spans="1:11">
      <c r="A85" s="26" t="s">
        <v>19</v>
      </c>
      <c r="B85" s="29">
        <f>(((B66+B67)/2*$G$66+(B71+B72)/2*$G$71+(B76+B77)/2*$G$76+(B81+B82)/2*$G$81)/($G$66+$G$71+$G$76+$G$81))/$B$60</f>
        <v>808.73533075460568</v>
      </c>
      <c r="C85" s="29">
        <f t="shared" ref="C85:D85" si="2">(((C66+C67)/2*$G$66+(C71+C72)/2*$G$71+(C76+C77)/2*$G$76+(C81+C82)/2*$G$81)/($G$66+$G$71+$G$76+$G$81))/$B$60</f>
        <v>139.47813544876419</v>
      </c>
      <c r="D85" s="29">
        <f t="shared" si="2"/>
        <v>55.877925653969712</v>
      </c>
      <c r="E85" s="29">
        <f>B85+C85+D85</f>
        <v>1004.0913918573395</v>
      </c>
    </row>
    <row r="89" spans="1:11">
      <c r="A89" s="23" t="s">
        <v>9</v>
      </c>
      <c r="B89" s="23" t="s">
        <v>50</v>
      </c>
      <c r="C89" s="23"/>
      <c r="D89" s="23"/>
      <c r="E89" s="23"/>
      <c r="F89" s="23"/>
      <c r="G89" s="23"/>
    </row>
    <row r="90" spans="1:11">
      <c r="A90" s="23" t="s">
        <v>18</v>
      </c>
      <c r="B90" s="23">
        <v>664</v>
      </c>
      <c r="C90" s="23"/>
      <c r="D90" s="23"/>
      <c r="E90" s="23"/>
      <c r="F90" s="23"/>
      <c r="G90" s="23"/>
    </row>
    <row r="91" spans="1:11">
      <c r="A91" s="23" t="s">
        <v>11</v>
      </c>
      <c r="B91" s="25">
        <v>43365</v>
      </c>
      <c r="C91" s="23"/>
      <c r="D91" s="23"/>
      <c r="E91" s="23"/>
      <c r="F91" s="23"/>
      <c r="G91" s="23"/>
    </row>
    <row r="92" spans="1:11">
      <c r="A92" s="23" t="s">
        <v>12</v>
      </c>
      <c r="B92" s="25">
        <v>43369</v>
      </c>
      <c r="C92" s="23"/>
      <c r="D92" s="23"/>
      <c r="E92" s="23"/>
      <c r="F92" s="23"/>
      <c r="G92" s="23"/>
    </row>
    <row r="93" spans="1:11">
      <c r="A93" s="23"/>
      <c r="B93" s="25"/>
      <c r="C93" s="23"/>
      <c r="D93" s="23"/>
      <c r="E93" s="23"/>
      <c r="F93" s="23"/>
      <c r="G93" s="23"/>
    </row>
    <row r="94" spans="1:11">
      <c r="A94" s="26" t="s">
        <v>1</v>
      </c>
      <c r="B94" s="27" t="s">
        <v>47</v>
      </c>
      <c r="C94" s="23"/>
      <c r="D94" s="23"/>
      <c r="E94" s="23"/>
      <c r="F94" s="23"/>
      <c r="G94" s="23"/>
    </row>
    <row r="95" spans="1:11" ht="15.75">
      <c r="A95" s="26" t="s">
        <v>3</v>
      </c>
      <c r="B95" s="28" t="s">
        <v>8</v>
      </c>
      <c r="C95" s="28" t="s">
        <v>7</v>
      </c>
      <c r="D95" s="28" t="s">
        <v>6</v>
      </c>
      <c r="E95" s="28" t="s">
        <v>10</v>
      </c>
      <c r="F95" s="28" t="s">
        <v>13</v>
      </c>
      <c r="G95" s="28" t="s">
        <v>15</v>
      </c>
      <c r="J95" s="35"/>
    </row>
    <row r="96" spans="1:11" ht="15.75">
      <c r="A96" s="26" t="s">
        <v>4</v>
      </c>
      <c r="B96" s="29">
        <v>686700</v>
      </c>
      <c r="C96" s="29">
        <v>94500</v>
      </c>
      <c r="D96" s="29">
        <v>29400</v>
      </c>
      <c r="E96" s="29">
        <f>B96+C96+D96</f>
        <v>810600</v>
      </c>
      <c r="F96" s="30" t="s">
        <v>14</v>
      </c>
      <c r="G96" s="125">
        <v>2</v>
      </c>
      <c r="J96" s="36"/>
      <c r="K96" s="35"/>
    </row>
    <row r="97" spans="1:11">
      <c r="A97" s="26" t="s">
        <v>5</v>
      </c>
      <c r="B97" s="29">
        <v>826900</v>
      </c>
      <c r="C97" s="29">
        <v>105000</v>
      </c>
      <c r="D97" s="29">
        <v>29400</v>
      </c>
      <c r="E97" s="29">
        <f>B97+C97+D97</f>
        <v>961300</v>
      </c>
      <c r="F97" s="30" t="s">
        <v>14</v>
      </c>
      <c r="G97" s="125"/>
      <c r="J97" s="36"/>
      <c r="K97" s="36"/>
    </row>
    <row r="98" spans="1:11">
      <c r="A98" s="23"/>
      <c r="B98" s="23"/>
      <c r="C98" s="23"/>
      <c r="D98" s="23"/>
      <c r="E98" s="23"/>
      <c r="F98" s="23"/>
      <c r="G98" s="23"/>
      <c r="J98" s="36"/>
      <c r="K98" s="36"/>
    </row>
    <row r="99" spans="1:11">
      <c r="A99" s="26" t="s">
        <v>1</v>
      </c>
      <c r="B99" s="27" t="s">
        <v>43</v>
      </c>
      <c r="C99" s="23"/>
      <c r="D99" s="23"/>
      <c r="E99" s="23"/>
      <c r="F99" s="23"/>
      <c r="G99" s="23"/>
      <c r="K99" s="36"/>
    </row>
    <row r="100" spans="1:11">
      <c r="A100" s="26" t="s">
        <v>3</v>
      </c>
      <c r="B100" s="28" t="s">
        <v>8</v>
      </c>
      <c r="C100" s="28" t="s">
        <v>7</v>
      </c>
      <c r="D100" s="28" t="s">
        <v>6</v>
      </c>
      <c r="E100" s="28" t="s">
        <v>10</v>
      </c>
      <c r="F100" s="28" t="s">
        <v>13</v>
      </c>
      <c r="G100" s="28" t="s">
        <v>15</v>
      </c>
      <c r="I100" s="57" t="s">
        <v>63</v>
      </c>
      <c r="J100" s="15">
        <f>G96+G101+G106+G111</f>
        <v>20</v>
      </c>
    </row>
    <row r="101" spans="1:11">
      <c r="A101" s="26" t="s">
        <v>4</v>
      </c>
      <c r="B101" s="29">
        <v>462700</v>
      </c>
      <c r="C101" s="29">
        <v>77700</v>
      </c>
      <c r="D101" s="29">
        <v>29400</v>
      </c>
      <c r="E101" s="29">
        <f>B101+C101+D101</f>
        <v>569800</v>
      </c>
      <c r="F101" s="30" t="s">
        <v>14</v>
      </c>
      <c r="G101" s="125">
        <v>3</v>
      </c>
      <c r="I101" s="54" t="s">
        <v>61</v>
      </c>
      <c r="J101" s="55">
        <f>(G96*100/(G96+G101+G106+G111))^2+(G101*100/(G96+G101+G106+G111))^2+(G106*100/(G96+G101+G106+G111))^2+(G111*100/(G96+G101+G106+G111))^2</f>
        <v>3150</v>
      </c>
    </row>
    <row r="102" spans="1:11">
      <c r="A102" s="26" t="s">
        <v>5</v>
      </c>
      <c r="B102" s="29">
        <v>462700</v>
      </c>
      <c r="C102" s="29">
        <v>77700</v>
      </c>
      <c r="D102" s="29">
        <v>29400</v>
      </c>
      <c r="E102" s="29">
        <f>B102+C102+D102</f>
        <v>569800</v>
      </c>
      <c r="F102" s="30" t="s">
        <v>14</v>
      </c>
      <c r="G102" s="125"/>
      <c r="J102" s="36"/>
    </row>
    <row r="103" spans="1:11">
      <c r="A103" s="23"/>
      <c r="B103" s="23"/>
      <c r="C103" s="23"/>
      <c r="D103" s="23"/>
      <c r="E103" s="23"/>
      <c r="F103" s="23"/>
      <c r="G103" s="23"/>
      <c r="J103" s="36"/>
    </row>
    <row r="104" spans="1:11">
      <c r="A104" s="26" t="s">
        <v>1</v>
      </c>
      <c r="B104" s="27" t="s">
        <v>49</v>
      </c>
      <c r="C104" s="23"/>
      <c r="D104" s="23"/>
      <c r="E104" s="23"/>
      <c r="F104" s="23"/>
      <c r="G104" s="23"/>
      <c r="J104" s="36"/>
    </row>
    <row r="105" spans="1:11" ht="15.75">
      <c r="A105" s="26" t="s">
        <v>3</v>
      </c>
      <c r="B105" s="28" t="s">
        <v>8</v>
      </c>
      <c r="C105" s="28" t="s">
        <v>7</v>
      </c>
      <c r="D105" s="28" t="s">
        <v>6</v>
      </c>
      <c r="E105" s="28" t="s">
        <v>10</v>
      </c>
      <c r="F105" s="28" t="s">
        <v>13</v>
      </c>
      <c r="G105" s="28" t="s">
        <v>15</v>
      </c>
      <c r="J105" s="35"/>
    </row>
    <row r="106" spans="1:11" ht="15.75">
      <c r="A106" s="26" t="s">
        <v>4</v>
      </c>
      <c r="B106" s="29">
        <v>810400</v>
      </c>
      <c r="C106" s="29">
        <v>103700</v>
      </c>
      <c r="D106" s="29">
        <v>36015</v>
      </c>
      <c r="E106" s="29">
        <f>B106+C106+D106</f>
        <v>950115</v>
      </c>
      <c r="F106" s="30" t="s">
        <v>14</v>
      </c>
      <c r="G106" s="125">
        <v>7</v>
      </c>
      <c r="J106" s="35"/>
    </row>
    <row r="107" spans="1:11">
      <c r="A107" s="26" t="s">
        <v>5</v>
      </c>
      <c r="B107" s="29">
        <v>810400</v>
      </c>
      <c r="C107" s="29">
        <v>103700</v>
      </c>
      <c r="D107" s="29">
        <v>36015</v>
      </c>
      <c r="E107" s="29">
        <f>B107+C107+D107</f>
        <v>950115</v>
      </c>
      <c r="F107" s="30" t="s">
        <v>14</v>
      </c>
      <c r="G107" s="125"/>
      <c r="J107" s="36"/>
    </row>
    <row r="108" spans="1:11">
      <c r="A108" s="23"/>
      <c r="B108" s="23"/>
      <c r="C108" s="23"/>
      <c r="D108" s="23"/>
      <c r="E108" s="23"/>
      <c r="F108" s="23"/>
      <c r="G108" s="23"/>
      <c r="J108" s="36"/>
    </row>
    <row r="109" spans="1:11">
      <c r="A109" s="26" t="s">
        <v>1</v>
      </c>
      <c r="B109" s="27" t="s">
        <v>44</v>
      </c>
      <c r="C109" s="23"/>
      <c r="D109" s="23"/>
      <c r="E109" s="23"/>
      <c r="F109" s="23"/>
      <c r="G109" s="23"/>
      <c r="J109" s="36"/>
    </row>
    <row r="110" spans="1:11" ht="15.75">
      <c r="A110" s="26" t="s">
        <v>3</v>
      </c>
      <c r="B110" s="28" t="s">
        <v>8</v>
      </c>
      <c r="C110" s="28" t="s">
        <v>7</v>
      </c>
      <c r="D110" s="28" t="s">
        <v>6</v>
      </c>
      <c r="E110" s="28" t="s">
        <v>10</v>
      </c>
      <c r="F110" s="28" t="s">
        <v>13</v>
      </c>
      <c r="G110" s="28" t="s">
        <v>15</v>
      </c>
      <c r="J110" s="35"/>
    </row>
    <row r="111" spans="1:11">
      <c r="A111" s="26" t="s">
        <v>4</v>
      </c>
      <c r="B111" s="29">
        <v>810400</v>
      </c>
      <c r="C111" s="29">
        <v>103700</v>
      </c>
      <c r="D111" s="29">
        <v>29400</v>
      </c>
      <c r="E111" s="29">
        <f>B111+C111+D111</f>
        <v>943500</v>
      </c>
      <c r="F111" s="30" t="s">
        <v>14</v>
      </c>
      <c r="G111" s="125">
        <v>8</v>
      </c>
      <c r="J111" s="36"/>
    </row>
    <row r="112" spans="1:11">
      <c r="A112" s="26" t="s">
        <v>5</v>
      </c>
      <c r="B112" s="29">
        <v>810400</v>
      </c>
      <c r="C112" s="29">
        <v>103700</v>
      </c>
      <c r="D112" s="29">
        <v>29400</v>
      </c>
      <c r="E112" s="29">
        <f>B112+C112+D112</f>
        <v>943500</v>
      </c>
      <c r="F112" s="30" t="s">
        <v>14</v>
      </c>
      <c r="G112" s="125"/>
      <c r="J112" s="36"/>
    </row>
    <row r="113" spans="1:11">
      <c r="A113" s="23"/>
      <c r="B113" s="23"/>
      <c r="C113" s="23"/>
      <c r="D113" s="23"/>
      <c r="E113" s="23"/>
      <c r="F113" s="23"/>
      <c r="G113" s="23"/>
      <c r="J113" s="36"/>
    </row>
    <row r="114" spans="1:11">
      <c r="A114" s="23"/>
      <c r="B114" s="31" t="s">
        <v>8</v>
      </c>
      <c r="C114" s="31" t="s">
        <v>7</v>
      </c>
      <c r="D114" s="31" t="s">
        <v>6</v>
      </c>
      <c r="E114" s="31" t="s">
        <v>10</v>
      </c>
    </row>
    <row r="115" spans="1:11">
      <c r="A115" s="26" t="s">
        <v>19</v>
      </c>
      <c r="B115" s="29">
        <f>(((B96+B97)/2*$G$96+(B101+B102)/2*$G$101+(B106+B107)/2*$G$106+(B111+B112)/2*$G$111)/($G$96+$G$101+$G$106+$G$111))/$B$90</f>
        <v>1133.8629518072289</v>
      </c>
      <c r="C115" s="29">
        <f t="shared" ref="C115:D115" si="3">(((C96+C97)/2*$G$96+(C101+C102)/2*$G$101+(C106+C107)/2*$G$106+(C111+C112)/2*$G$111)/($G$96+$G$101+$G$106+$G$111))/$B$90</f>
        <v>149.70632530120483</v>
      </c>
      <c r="D115" s="29">
        <f t="shared" si="3"/>
        <v>47.763930722891565</v>
      </c>
      <c r="E115" s="29">
        <f>B115+C115+D115</f>
        <v>1331.3332078313251</v>
      </c>
    </row>
    <row r="119" spans="1:11">
      <c r="A119" s="23" t="s">
        <v>9</v>
      </c>
      <c r="B119" s="23" t="s">
        <v>51</v>
      </c>
      <c r="C119" s="23"/>
      <c r="D119" s="23"/>
      <c r="E119" s="23"/>
      <c r="F119" s="23"/>
      <c r="G119" s="23"/>
    </row>
    <row r="120" spans="1:11">
      <c r="A120" s="23" t="s">
        <v>18</v>
      </c>
      <c r="B120" s="23">
        <v>3973.63</v>
      </c>
      <c r="C120" s="23"/>
      <c r="D120" s="23"/>
      <c r="E120" s="23"/>
      <c r="F120" s="23"/>
      <c r="G120" s="23"/>
    </row>
    <row r="121" spans="1:11">
      <c r="A121" s="23" t="s">
        <v>11</v>
      </c>
      <c r="B121" s="25">
        <v>43365</v>
      </c>
      <c r="C121" s="23"/>
      <c r="D121" s="23"/>
      <c r="E121" s="23"/>
      <c r="F121" s="23"/>
      <c r="G121" s="23"/>
    </row>
    <row r="122" spans="1:11">
      <c r="A122" s="23" t="s">
        <v>12</v>
      </c>
      <c r="B122" s="25">
        <v>43369</v>
      </c>
      <c r="C122" s="23"/>
      <c r="D122" s="23"/>
      <c r="E122" s="23"/>
      <c r="F122" s="23"/>
      <c r="G122" s="23"/>
    </row>
    <row r="123" spans="1:11">
      <c r="A123" s="23"/>
      <c r="B123" s="25"/>
      <c r="C123" s="23"/>
      <c r="D123" s="23"/>
      <c r="E123" s="23"/>
      <c r="F123" s="23"/>
      <c r="G123" s="23"/>
    </row>
    <row r="124" spans="1:11">
      <c r="A124" s="26" t="s">
        <v>1</v>
      </c>
      <c r="B124" s="27" t="s">
        <v>42</v>
      </c>
      <c r="C124" s="23"/>
      <c r="D124" s="23"/>
      <c r="E124" s="23"/>
      <c r="F124" s="23"/>
      <c r="G124" s="23"/>
    </row>
    <row r="125" spans="1:11" ht="15.75">
      <c r="A125" s="26" t="s">
        <v>3</v>
      </c>
      <c r="B125" s="28" t="s">
        <v>8</v>
      </c>
      <c r="C125" s="28" t="s">
        <v>7</v>
      </c>
      <c r="D125" s="28" t="s">
        <v>6</v>
      </c>
      <c r="E125" s="28" t="s">
        <v>10</v>
      </c>
      <c r="F125" s="28" t="s">
        <v>13</v>
      </c>
      <c r="G125" s="28" t="s">
        <v>15</v>
      </c>
      <c r="J125" s="35"/>
    </row>
    <row r="126" spans="1:11" ht="15.75">
      <c r="A126" s="26" t="s">
        <v>4</v>
      </c>
      <c r="B126" s="29">
        <v>796400</v>
      </c>
      <c r="C126" s="29">
        <v>102700</v>
      </c>
      <c r="D126" s="29">
        <v>29400</v>
      </c>
      <c r="E126" s="29">
        <f>B126+C126+D126</f>
        <v>928500</v>
      </c>
      <c r="F126" s="30" t="s">
        <v>14</v>
      </c>
      <c r="G126" s="125">
        <v>13</v>
      </c>
      <c r="J126" s="36"/>
      <c r="K126" s="35"/>
    </row>
    <row r="127" spans="1:11">
      <c r="A127" s="26" t="s">
        <v>5</v>
      </c>
      <c r="B127" s="29">
        <v>1228100</v>
      </c>
      <c r="C127" s="29">
        <v>135100</v>
      </c>
      <c r="D127" s="29">
        <v>44100</v>
      </c>
      <c r="E127" s="29">
        <f>B127+C127+D127</f>
        <v>1407300</v>
      </c>
      <c r="F127" s="30" t="s">
        <v>14</v>
      </c>
      <c r="G127" s="125"/>
      <c r="J127" s="36"/>
      <c r="K127" s="36"/>
    </row>
    <row r="128" spans="1:11">
      <c r="A128" s="23"/>
      <c r="B128" s="23"/>
      <c r="C128" s="23"/>
      <c r="D128" s="23"/>
      <c r="E128" s="23"/>
      <c r="F128" s="23"/>
      <c r="G128" s="23"/>
      <c r="J128" s="36"/>
      <c r="K128" s="36"/>
    </row>
    <row r="129" spans="1:11">
      <c r="A129" s="26" t="s">
        <v>1</v>
      </c>
      <c r="B129" s="27" t="s">
        <v>47</v>
      </c>
      <c r="C129" s="23"/>
      <c r="D129" s="23"/>
      <c r="E129" s="23"/>
      <c r="F129" s="23"/>
      <c r="G129" s="23"/>
      <c r="K129" s="36"/>
    </row>
    <row r="130" spans="1:11">
      <c r="A130" s="26" t="s">
        <v>3</v>
      </c>
      <c r="B130" s="28" t="s">
        <v>8</v>
      </c>
      <c r="C130" s="28" t="s">
        <v>7</v>
      </c>
      <c r="D130" s="28" t="s">
        <v>6</v>
      </c>
      <c r="E130" s="28" t="s">
        <v>10</v>
      </c>
      <c r="F130" s="28" t="s">
        <v>13</v>
      </c>
      <c r="G130" s="28" t="s">
        <v>15</v>
      </c>
      <c r="I130" s="57" t="s">
        <v>63</v>
      </c>
      <c r="J130" s="15">
        <f>G126+G131+G136+G141+G146</f>
        <v>54</v>
      </c>
    </row>
    <row r="131" spans="1:11">
      <c r="A131" s="26" t="s">
        <v>4</v>
      </c>
      <c r="B131" s="29">
        <v>796400</v>
      </c>
      <c r="C131" s="29">
        <v>102700</v>
      </c>
      <c r="D131" s="29">
        <v>29400</v>
      </c>
      <c r="E131" s="29">
        <f>B131+C131+D131</f>
        <v>928500</v>
      </c>
      <c r="F131" s="30" t="s">
        <v>14</v>
      </c>
      <c r="G131" s="125">
        <v>9</v>
      </c>
      <c r="I131" s="54" t="s">
        <v>61</v>
      </c>
      <c r="J131" s="55">
        <f>(G126*100/(G126+G131+G136+G141+G146))^2+(G131*100/(G126+G131+G136+G141+G146))^2+(G136*100/(G126+G131+G136+G141+G146))^2+(G141*100/(G126+G131+G136+G141+G146))^2+(G146*100/(G126+G131+G136+G141+G146))^2</f>
        <v>2085.0480109739369</v>
      </c>
    </row>
    <row r="132" spans="1:11">
      <c r="A132" s="26" t="s">
        <v>5</v>
      </c>
      <c r="B132" s="29">
        <v>1301100</v>
      </c>
      <c r="C132" s="29">
        <v>140500</v>
      </c>
      <c r="D132" s="29">
        <v>44100</v>
      </c>
      <c r="E132" s="29">
        <f>B132+C132+D132</f>
        <v>1485700</v>
      </c>
      <c r="F132" s="30" t="s">
        <v>14</v>
      </c>
      <c r="G132" s="125"/>
      <c r="J132" s="36"/>
    </row>
    <row r="133" spans="1:11">
      <c r="A133" s="23"/>
      <c r="B133" s="23"/>
      <c r="C133" s="23"/>
      <c r="D133" s="23"/>
      <c r="E133" s="23"/>
      <c r="F133" s="23"/>
      <c r="G133" s="23"/>
      <c r="J133" s="36"/>
    </row>
    <row r="134" spans="1:11">
      <c r="A134" s="26" t="s">
        <v>1</v>
      </c>
      <c r="B134" s="27" t="s">
        <v>49</v>
      </c>
      <c r="C134" s="23"/>
      <c r="D134" s="23"/>
      <c r="E134" s="23"/>
      <c r="F134" s="23"/>
      <c r="G134" s="23"/>
      <c r="J134" s="36"/>
    </row>
    <row r="135" spans="1:11">
      <c r="A135" s="26" t="s">
        <v>3</v>
      </c>
      <c r="B135" s="28" t="s">
        <v>8</v>
      </c>
      <c r="C135" s="28" t="s">
        <v>7</v>
      </c>
      <c r="D135" s="28" t="s">
        <v>6</v>
      </c>
      <c r="E135" s="28" t="s">
        <v>10</v>
      </c>
      <c r="F135" s="28" t="s">
        <v>13</v>
      </c>
      <c r="G135" s="28" t="s">
        <v>15</v>
      </c>
      <c r="I135" s="50"/>
      <c r="J135" s="52"/>
    </row>
    <row r="136" spans="1:11">
      <c r="A136" s="26" t="s">
        <v>4</v>
      </c>
      <c r="B136" s="29">
        <v>796400</v>
      </c>
      <c r="C136" s="29">
        <v>102700</v>
      </c>
      <c r="D136" s="29">
        <v>36015</v>
      </c>
      <c r="E136" s="29">
        <f>B136+C136+D136</f>
        <v>935115</v>
      </c>
      <c r="F136" s="30" t="s">
        <v>14</v>
      </c>
      <c r="G136" s="125">
        <v>9</v>
      </c>
      <c r="I136" s="51"/>
      <c r="J136" s="53"/>
      <c r="K136" s="49"/>
    </row>
    <row r="137" spans="1:11">
      <c r="A137" s="26" t="s">
        <v>5</v>
      </c>
      <c r="B137" s="29">
        <v>973000</v>
      </c>
      <c r="C137" s="29">
        <v>115900</v>
      </c>
      <c r="D137" s="29">
        <v>36015</v>
      </c>
      <c r="E137" s="29">
        <f>B137+C137+D137</f>
        <v>1124915</v>
      </c>
      <c r="F137" s="30" t="s">
        <v>14</v>
      </c>
      <c r="G137" s="125"/>
      <c r="I137" s="36"/>
      <c r="J137" s="36"/>
    </row>
    <row r="138" spans="1:11">
      <c r="A138" s="23"/>
      <c r="B138" s="23"/>
      <c r="C138" s="23"/>
      <c r="D138" s="23"/>
      <c r="E138" s="23"/>
      <c r="F138" s="23"/>
      <c r="G138" s="23"/>
      <c r="I138" s="36"/>
      <c r="J138" s="36"/>
    </row>
    <row r="139" spans="1:11">
      <c r="A139" s="26" t="s">
        <v>1</v>
      </c>
      <c r="B139" s="27" t="s">
        <v>43</v>
      </c>
      <c r="C139" s="23"/>
      <c r="D139" s="23"/>
      <c r="E139" s="23"/>
      <c r="F139" s="23"/>
      <c r="G139" s="23"/>
      <c r="J139" s="36"/>
    </row>
    <row r="140" spans="1:11" ht="15.75">
      <c r="A140" s="26" t="s">
        <v>3</v>
      </c>
      <c r="B140" s="28" t="s">
        <v>8</v>
      </c>
      <c r="C140" s="28" t="s">
        <v>7</v>
      </c>
      <c r="D140" s="28" t="s">
        <v>6</v>
      </c>
      <c r="E140" s="28" t="s">
        <v>10</v>
      </c>
      <c r="F140" s="28" t="s">
        <v>13</v>
      </c>
      <c r="G140" s="28" t="s">
        <v>15</v>
      </c>
      <c r="J140" s="35"/>
    </row>
    <row r="141" spans="1:11">
      <c r="A141" s="26" t="s">
        <v>4</v>
      </c>
      <c r="B141" s="29">
        <v>824400</v>
      </c>
      <c r="C141" s="29">
        <v>104800</v>
      </c>
      <c r="D141" s="29">
        <v>29400</v>
      </c>
      <c r="E141" s="29">
        <f>B141+C141+D141</f>
        <v>958600</v>
      </c>
      <c r="F141" s="30" t="s">
        <v>14</v>
      </c>
      <c r="G141" s="125">
        <v>9</v>
      </c>
      <c r="J141" s="36"/>
    </row>
    <row r="142" spans="1:11">
      <c r="A142" s="26" t="s">
        <v>5</v>
      </c>
      <c r="B142" s="29">
        <v>1132800</v>
      </c>
      <c r="C142" s="29">
        <v>127900</v>
      </c>
      <c r="D142" s="29">
        <v>44100</v>
      </c>
      <c r="E142" s="29">
        <f>B142+C142+D142</f>
        <v>1304800</v>
      </c>
      <c r="F142" s="30" t="s">
        <v>14</v>
      </c>
      <c r="G142" s="125"/>
      <c r="J142" s="36"/>
    </row>
    <row r="143" spans="1:11">
      <c r="A143" s="38"/>
      <c r="B143" s="41"/>
      <c r="C143" s="41"/>
      <c r="D143" s="41"/>
      <c r="E143" s="41"/>
      <c r="F143" s="39"/>
      <c r="G143" s="40"/>
      <c r="J143" s="36"/>
    </row>
    <row r="144" spans="1:11">
      <c r="A144" s="26" t="s">
        <v>1</v>
      </c>
      <c r="B144" s="27" t="s">
        <v>44</v>
      </c>
      <c r="C144" s="23"/>
      <c r="D144" s="23"/>
      <c r="E144" s="23"/>
      <c r="F144" s="23"/>
      <c r="G144" s="23"/>
      <c r="J144" s="36"/>
    </row>
    <row r="145" spans="1:10" ht="15.75">
      <c r="A145" s="26" t="s">
        <v>3</v>
      </c>
      <c r="B145" s="28" t="s">
        <v>8</v>
      </c>
      <c r="C145" s="28" t="s">
        <v>7</v>
      </c>
      <c r="D145" s="28" t="s">
        <v>6</v>
      </c>
      <c r="E145" s="28" t="s">
        <v>10</v>
      </c>
      <c r="F145" s="28" t="s">
        <v>13</v>
      </c>
      <c r="G145" s="28" t="s">
        <v>15</v>
      </c>
      <c r="I145" s="35"/>
      <c r="J145" s="35"/>
    </row>
    <row r="146" spans="1:10">
      <c r="A146" s="26" t="s">
        <v>4</v>
      </c>
      <c r="B146" s="29">
        <v>866400</v>
      </c>
      <c r="C146" s="29">
        <v>107900</v>
      </c>
      <c r="D146" s="29">
        <v>29400</v>
      </c>
      <c r="E146" s="29">
        <f>B146+C146+D146</f>
        <v>1003700</v>
      </c>
      <c r="F146" s="30" t="s">
        <v>14</v>
      </c>
      <c r="G146" s="125">
        <v>14</v>
      </c>
      <c r="I146" s="36"/>
      <c r="J146" s="36"/>
    </row>
    <row r="147" spans="1:10">
      <c r="A147" s="26" t="s">
        <v>5</v>
      </c>
      <c r="B147" s="29">
        <v>1545000</v>
      </c>
      <c r="C147" s="29">
        <v>158800</v>
      </c>
      <c r="D147" s="29">
        <v>44100</v>
      </c>
      <c r="E147" s="29">
        <f>B147+C147+D147</f>
        <v>1747900</v>
      </c>
      <c r="F147" s="30" t="s">
        <v>14</v>
      </c>
      <c r="G147" s="125"/>
      <c r="I147" s="36"/>
      <c r="J147" s="36"/>
    </row>
    <row r="148" spans="1:10">
      <c r="A148" s="23"/>
      <c r="B148" s="23"/>
      <c r="C148" s="23"/>
      <c r="D148" s="23"/>
      <c r="E148" s="23"/>
      <c r="F148" s="23"/>
      <c r="G148" s="23"/>
      <c r="I148" s="36"/>
      <c r="J148" s="36"/>
    </row>
    <row r="149" spans="1:10">
      <c r="A149" s="23"/>
      <c r="B149" s="31" t="s">
        <v>8</v>
      </c>
      <c r="C149" s="31" t="s">
        <v>7</v>
      </c>
      <c r="D149" s="31" t="s">
        <v>6</v>
      </c>
      <c r="E149" s="31" t="s">
        <v>10</v>
      </c>
    </row>
    <row r="150" spans="1:10">
      <c r="A150" s="26" t="s">
        <v>19</v>
      </c>
      <c r="B150" s="29">
        <f>(((B126+B127)/2*$G$126+(B131+B132)/2*$G$131+(B136+B137)/2*$G$136+(B141+B142)/2*$G$141+(B146+B147)/2*$G$146)/($G$126+$G$131+$G$136+$G$141+$G$146))/$B$120</f>
        <v>262.13320575150942</v>
      </c>
      <c r="C150" s="29">
        <f t="shared" ref="C150:D150" si="4">(((C126+C127)/2*$G$126+(C131+C132)/2*$G$131+(C136+C137)/2*$G$136+(C141+C142)/2*$G$141+(C146+C147)/2*$G$146)/($G$126+$G$131+$G$136+$G$141+$G$146))/$B$120</f>
        <v>30.4686889056848</v>
      </c>
      <c r="D150" s="29">
        <f t="shared" si="4"/>
        <v>9.2176423069082922</v>
      </c>
      <c r="E150" s="29">
        <f>B150+C150+D150</f>
        <v>301.81953696410255</v>
      </c>
    </row>
    <row r="154" spans="1:10">
      <c r="A154" s="23" t="s">
        <v>9</v>
      </c>
      <c r="B154" s="23" t="s">
        <v>52</v>
      </c>
      <c r="C154" s="23"/>
      <c r="D154" s="23"/>
      <c r="E154" s="23"/>
      <c r="F154" s="23"/>
      <c r="G154" s="23"/>
    </row>
    <row r="155" spans="1:10">
      <c r="A155" s="23" t="s">
        <v>18</v>
      </c>
      <c r="B155" s="23">
        <v>1187.25</v>
      </c>
      <c r="C155" s="23"/>
      <c r="D155" s="23"/>
      <c r="E155" s="23"/>
      <c r="F155" s="23"/>
      <c r="G155" s="23"/>
    </row>
    <row r="156" spans="1:10">
      <c r="A156" s="23" t="s">
        <v>11</v>
      </c>
      <c r="B156" s="25">
        <v>43365</v>
      </c>
      <c r="C156" s="23"/>
      <c r="D156" s="23"/>
      <c r="E156" s="23"/>
      <c r="F156" s="23"/>
      <c r="G156" s="23"/>
    </row>
    <row r="157" spans="1:10">
      <c r="A157" s="23" t="s">
        <v>12</v>
      </c>
      <c r="B157" s="25">
        <v>43369</v>
      </c>
      <c r="C157" s="23"/>
      <c r="D157" s="23"/>
      <c r="E157" s="23"/>
      <c r="F157" s="23"/>
      <c r="G157" s="23"/>
    </row>
    <row r="158" spans="1:10">
      <c r="A158" s="23"/>
      <c r="B158" s="25"/>
      <c r="C158" s="23"/>
      <c r="D158" s="23"/>
      <c r="E158" s="23"/>
      <c r="F158" s="23"/>
      <c r="G158" s="23"/>
    </row>
    <row r="159" spans="1:10">
      <c r="A159" s="26" t="s">
        <v>1</v>
      </c>
      <c r="B159" s="27" t="s">
        <v>47</v>
      </c>
      <c r="C159" s="23"/>
      <c r="D159" s="23"/>
      <c r="E159" s="23"/>
      <c r="F159" s="23"/>
      <c r="G159" s="23"/>
    </row>
    <row r="160" spans="1:10" ht="15.75">
      <c r="A160" s="26" t="s">
        <v>3</v>
      </c>
      <c r="B160" s="28" t="s">
        <v>8</v>
      </c>
      <c r="C160" s="28" t="s">
        <v>7</v>
      </c>
      <c r="D160" s="28" t="s">
        <v>6</v>
      </c>
      <c r="E160" s="28" t="s">
        <v>10</v>
      </c>
      <c r="F160" s="28" t="s">
        <v>13</v>
      </c>
      <c r="G160" s="28" t="s">
        <v>15</v>
      </c>
      <c r="J160" s="35"/>
    </row>
    <row r="161" spans="1:11" ht="15.75">
      <c r="A161" s="26" t="s">
        <v>4</v>
      </c>
      <c r="B161" s="29">
        <v>330900</v>
      </c>
      <c r="C161" s="29">
        <v>67800</v>
      </c>
      <c r="D161" s="29">
        <v>29400</v>
      </c>
      <c r="E161" s="29">
        <f>B161+C161+D161</f>
        <v>428100</v>
      </c>
      <c r="F161" s="30" t="s">
        <v>14</v>
      </c>
      <c r="G161" s="125">
        <v>2</v>
      </c>
      <c r="J161" s="36"/>
      <c r="K161" s="35"/>
    </row>
    <row r="162" spans="1:11">
      <c r="A162" s="26" t="s">
        <v>5</v>
      </c>
      <c r="B162" s="29">
        <v>1059900</v>
      </c>
      <c r="C162" s="29">
        <v>122400</v>
      </c>
      <c r="D162" s="29">
        <v>44100</v>
      </c>
      <c r="E162" s="29">
        <f>B162+C162+D162</f>
        <v>1226400</v>
      </c>
      <c r="F162" s="30" t="s">
        <v>14</v>
      </c>
      <c r="G162" s="125"/>
      <c r="J162" s="36"/>
      <c r="K162" s="36"/>
    </row>
    <row r="163" spans="1:11">
      <c r="A163" s="23"/>
      <c r="B163" s="23"/>
      <c r="C163" s="23"/>
      <c r="D163" s="23"/>
      <c r="E163" s="23"/>
      <c r="F163" s="23"/>
      <c r="G163" s="23"/>
      <c r="J163" s="36"/>
      <c r="K163" s="36"/>
    </row>
    <row r="164" spans="1:11">
      <c r="A164" s="26" t="s">
        <v>1</v>
      </c>
      <c r="B164" s="27" t="s">
        <v>42</v>
      </c>
      <c r="C164" s="23"/>
      <c r="D164" s="23"/>
      <c r="E164" s="23"/>
      <c r="F164" s="23"/>
      <c r="G164" s="23"/>
      <c r="K164" s="36"/>
    </row>
    <row r="165" spans="1:11">
      <c r="A165" s="26" t="s">
        <v>3</v>
      </c>
      <c r="B165" s="28" t="s">
        <v>8</v>
      </c>
      <c r="C165" s="28" t="s">
        <v>7</v>
      </c>
      <c r="D165" s="28" t="s">
        <v>6</v>
      </c>
      <c r="E165" s="28" t="s">
        <v>10</v>
      </c>
      <c r="F165" s="28" t="s">
        <v>13</v>
      </c>
      <c r="G165" s="28" t="s">
        <v>15</v>
      </c>
      <c r="I165" s="57" t="s">
        <v>63</v>
      </c>
      <c r="J165" s="15">
        <f>G161+G166+G171+G176+G181</f>
        <v>67</v>
      </c>
    </row>
    <row r="166" spans="1:11">
      <c r="A166" s="26" t="s">
        <v>4</v>
      </c>
      <c r="B166" s="29">
        <v>401000</v>
      </c>
      <c r="C166" s="29">
        <v>73000</v>
      </c>
      <c r="D166" s="29">
        <v>29400</v>
      </c>
      <c r="E166" s="29">
        <f>B166+C166+D166</f>
        <v>503400</v>
      </c>
      <c r="F166" s="30" t="s">
        <v>14</v>
      </c>
      <c r="G166" s="125">
        <v>21</v>
      </c>
      <c r="I166" s="54" t="s">
        <v>61</v>
      </c>
      <c r="J166" s="55">
        <f>(G161*100/(G161+G166+G171+G176))^2+(G166*100/(G161+G166+G171+G176))^2+(G171*100/(G161+G166+G171+G176))^2+(G176*100/(G161+G166+G171+G176))^2</f>
        <v>3218.979728224549</v>
      </c>
    </row>
    <row r="167" spans="1:11">
      <c r="A167" s="26" t="s">
        <v>5</v>
      </c>
      <c r="B167" s="29">
        <v>1228100</v>
      </c>
      <c r="C167" s="29">
        <v>135100</v>
      </c>
      <c r="D167" s="29">
        <v>44100</v>
      </c>
      <c r="E167" s="29">
        <f>B167+C167+D167</f>
        <v>1407300</v>
      </c>
      <c r="F167" s="30" t="s">
        <v>14</v>
      </c>
      <c r="G167" s="125"/>
      <c r="J167" s="36"/>
    </row>
    <row r="168" spans="1:11">
      <c r="A168" s="23"/>
      <c r="B168" s="23"/>
      <c r="C168" s="23"/>
      <c r="D168" s="23"/>
      <c r="E168" s="23"/>
      <c r="F168" s="23"/>
      <c r="G168" s="23"/>
      <c r="J168" s="36"/>
    </row>
    <row r="169" spans="1:11">
      <c r="A169" s="26" t="s">
        <v>1</v>
      </c>
      <c r="B169" s="27" t="s">
        <v>43</v>
      </c>
      <c r="C169" s="23"/>
      <c r="D169" s="23"/>
      <c r="E169" s="23"/>
      <c r="F169" s="23"/>
      <c r="G169" s="23"/>
      <c r="J169" s="36"/>
    </row>
    <row r="170" spans="1:11" ht="15.75">
      <c r="A170" s="26" t="s">
        <v>3</v>
      </c>
      <c r="B170" s="28" t="s">
        <v>8</v>
      </c>
      <c r="C170" s="28" t="s">
        <v>7</v>
      </c>
      <c r="D170" s="28" t="s">
        <v>6</v>
      </c>
      <c r="E170" s="28" t="s">
        <v>10</v>
      </c>
      <c r="F170" s="28" t="s">
        <v>13</v>
      </c>
      <c r="G170" s="28" t="s">
        <v>15</v>
      </c>
      <c r="J170" s="35"/>
    </row>
    <row r="171" spans="1:11">
      <c r="A171" s="26" t="s">
        <v>4</v>
      </c>
      <c r="B171" s="29">
        <v>443100</v>
      </c>
      <c r="C171" s="29">
        <v>76200</v>
      </c>
      <c r="D171" s="29">
        <v>29400</v>
      </c>
      <c r="E171" s="29">
        <f>B171+C171+D171</f>
        <v>548700</v>
      </c>
      <c r="F171" s="30" t="s">
        <v>14</v>
      </c>
      <c r="G171" s="125">
        <v>18</v>
      </c>
      <c r="J171" s="36"/>
    </row>
    <row r="172" spans="1:11">
      <c r="A172" s="26" t="s">
        <v>5</v>
      </c>
      <c r="B172" s="29">
        <v>919700</v>
      </c>
      <c r="C172" s="29">
        <v>111900</v>
      </c>
      <c r="D172" s="29">
        <v>29400</v>
      </c>
      <c r="E172" s="29">
        <f>B172+C172+D172</f>
        <v>1061000</v>
      </c>
      <c r="F172" s="30" t="s">
        <v>14</v>
      </c>
      <c r="G172" s="125"/>
      <c r="J172" s="36"/>
    </row>
    <row r="173" spans="1:11">
      <c r="A173" s="23"/>
      <c r="B173" s="23"/>
      <c r="C173" s="23"/>
      <c r="D173" s="23"/>
      <c r="E173" s="23"/>
      <c r="F173" s="23"/>
      <c r="G173" s="23"/>
      <c r="J173" s="36"/>
    </row>
    <row r="174" spans="1:11">
      <c r="A174" s="26" t="s">
        <v>1</v>
      </c>
      <c r="B174" s="27" t="s">
        <v>44</v>
      </c>
      <c r="C174" s="23"/>
      <c r="D174" s="23"/>
      <c r="E174" s="23"/>
      <c r="F174" s="23"/>
      <c r="G174" s="23"/>
      <c r="J174" s="36"/>
    </row>
    <row r="175" spans="1:11">
      <c r="A175" s="26" t="s">
        <v>3</v>
      </c>
      <c r="B175" s="28" t="s">
        <v>8</v>
      </c>
      <c r="C175" s="28" t="s">
        <v>7</v>
      </c>
      <c r="D175" s="28" t="s">
        <v>6</v>
      </c>
      <c r="E175" s="28" t="s">
        <v>10</v>
      </c>
      <c r="F175" s="28" t="s">
        <v>13</v>
      </c>
      <c r="G175" s="28" t="s">
        <v>15</v>
      </c>
      <c r="J175" s="37"/>
    </row>
    <row r="176" spans="1:11">
      <c r="A176" s="26" t="s">
        <v>4</v>
      </c>
      <c r="B176" s="29">
        <v>751500</v>
      </c>
      <c r="C176" s="29">
        <v>99300</v>
      </c>
      <c r="D176" s="29">
        <v>29400</v>
      </c>
      <c r="E176" s="29">
        <f>B176+C176+D176</f>
        <v>880200</v>
      </c>
      <c r="F176" s="30" t="s">
        <v>14</v>
      </c>
      <c r="G176" s="125">
        <v>26</v>
      </c>
      <c r="J176" s="36"/>
    </row>
    <row r="177" spans="1:10">
      <c r="A177" s="26" t="s">
        <v>5</v>
      </c>
      <c r="B177" s="29">
        <v>1539400</v>
      </c>
      <c r="C177" s="29">
        <v>158400</v>
      </c>
      <c r="D177" s="29">
        <v>44100</v>
      </c>
      <c r="E177" s="29">
        <f>B177+C177+D177</f>
        <v>1741900</v>
      </c>
      <c r="F177" s="30" t="s">
        <v>14</v>
      </c>
      <c r="G177" s="125"/>
      <c r="J177" s="36"/>
    </row>
    <row r="178" spans="1:10">
      <c r="A178" s="23"/>
      <c r="B178" s="23"/>
      <c r="C178" s="23"/>
      <c r="D178" s="23"/>
      <c r="E178" s="23"/>
      <c r="F178" s="23"/>
      <c r="G178" s="23"/>
      <c r="J178" s="36"/>
    </row>
    <row r="179" spans="1:10">
      <c r="A179" s="23"/>
      <c r="B179" s="31" t="s">
        <v>8</v>
      </c>
      <c r="C179" s="31" t="s">
        <v>7</v>
      </c>
      <c r="D179" s="31" t="s">
        <v>6</v>
      </c>
      <c r="E179" s="31" t="s">
        <v>10</v>
      </c>
    </row>
    <row r="180" spans="1:10">
      <c r="A180" s="26" t="s">
        <v>19</v>
      </c>
      <c r="B180" s="29">
        <f>(((B161+B162)/2*$G$161+(B166+B167)/2*$G$166+(B171+B172)/2*$G$171+(B176+B177)/2*$G$176)/($G$161+$G$166+$G$171+$G$176))/$B$155</f>
        <v>761.11231586854103</v>
      </c>
      <c r="C180" s="29">
        <f t="shared" ref="C180:D180" si="5">(((C161+C162)/2*$G$161+(C166+C167)/2*$G$166+(C171+C172)/2*$G$171+(C176+C177)/2*$G$176)/($G$161+$G$166+$G$171+$G$176))/$B$155</f>
        <v>93.257653614429429</v>
      </c>
      <c r="D180" s="29">
        <f t="shared" si="5"/>
        <v>29.290691206004091</v>
      </c>
      <c r="E180" s="29">
        <f>B180+C180+D180</f>
        <v>883.66066068897453</v>
      </c>
    </row>
    <row r="183" spans="1:10" s="42" customFormat="1" ht="30">
      <c r="A183" s="45" t="s">
        <v>82</v>
      </c>
      <c r="B183" s="67" t="s">
        <v>78</v>
      </c>
      <c r="C183" s="67" t="s">
        <v>80</v>
      </c>
      <c r="D183" s="44" t="s">
        <v>81</v>
      </c>
      <c r="E183" s="67" t="s">
        <v>79</v>
      </c>
    </row>
    <row r="184" spans="1:10">
      <c r="A184" s="56">
        <f>(J16*J15+J46*J45+J71*J70+J101*J100+J131*J130+J166*J165)/(J15+J45+J70+J100+J130+J165)</f>
        <v>3159.4243026578579</v>
      </c>
      <c r="B184" s="62">
        <f>(B30*$J$15+B55*$J$45+B85*$J$70+B115*$J$100+B150*$J$130+B180*$J$165)/($J$15+$J$45+$J$70+$J$100+$J$130+$J$165)</f>
        <v>692.4824581983703</v>
      </c>
      <c r="C184" s="62">
        <f t="shared" ref="C184:E184" si="6">(C30*$J$15+C55*$J$45+C85*$J$70+C115*$J$100+C150*$J$130+C180*$J$165)/($J$15+$J$45+$J$70+$J$100+$J$130+$J$165)</f>
        <v>103.34416308231516</v>
      </c>
      <c r="D184" s="62">
        <f t="shared" si="6"/>
        <v>37.557474315502418</v>
      </c>
      <c r="E184" s="62">
        <f t="shared" si="6"/>
        <v>833.38409559618776</v>
      </c>
    </row>
    <row r="186" spans="1:10">
      <c r="A186" s="44" t="s">
        <v>83</v>
      </c>
      <c r="B186" s="68">
        <f>C184/E184</f>
        <v>0.12400544194257107</v>
      </c>
    </row>
  </sheetData>
  <mergeCells count="24">
    <mergeCell ref="G176:G177"/>
    <mergeCell ref="G101:G102"/>
    <mergeCell ref="G106:G107"/>
    <mergeCell ref="G111:G112"/>
    <mergeCell ref="G126:G127"/>
    <mergeCell ref="G131:G132"/>
    <mergeCell ref="G136:G137"/>
    <mergeCell ref="G141:G142"/>
    <mergeCell ref="G146:G147"/>
    <mergeCell ref="G161:G162"/>
    <mergeCell ref="G166:G167"/>
    <mergeCell ref="G171:G172"/>
    <mergeCell ref="G96:G97"/>
    <mergeCell ref="G81:G82"/>
    <mergeCell ref="G11:G12"/>
    <mergeCell ref="G16:G17"/>
    <mergeCell ref="G21:G22"/>
    <mergeCell ref="G26:G27"/>
    <mergeCell ref="G41:G42"/>
    <mergeCell ref="G46:G47"/>
    <mergeCell ref="G51:G52"/>
    <mergeCell ref="G76:G77"/>
    <mergeCell ref="G66:G67"/>
    <mergeCell ref="G71:G7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L176"/>
  <sheetViews>
    <sheetView topLeftCell="A158" workbookViewId="0">
      <selection activeCell="A177" sqref="A177"/>
    </sheetView>
  </sheetViews>
  <sheetFormatPr baseColWidth="10" defaultRowHeight="15"/>
  <cols>
    <col min="1" max="1" width="19.42578125" bestFit="1" customWidth="1"/>
    <col min="2" max="2" width="15" customWidth="1"/>
    <col min="7" max="7" width="16.140625" bestFit="1" customWidth="1"/>
    <col min="10" max="10" width="13.85546875" bestFit="1" customWidth="1"/>
  </cols>
  <sheetData>
    <row r="4" spans="1:12">
      <c r="A4" s="23" t="s">
        <v>9</v>
      </c>
      <c r="B4" s="23" t="s">
        <v>41</v>
      </c>
      <c r="C4" s="23"/>
      <c r="D4" s="23"/>
      <c r="E4" s="23"/>
      <c r="F4" s="23"/>
      <c r="G4" s="23"/>
    </row>
    <row r="5" spans="1:12">
      <c r="A5" s="23" t="s">
        <v>18</v>
      </c>
      <c r="B5" s="23">
        <v>312.74</v>
      </c>
      <c r="C5" s="23"/>
      <c r="D5" s="23"/>
      <c r="E5" s="23"/>
      <c r="F5" s="23"/>
      <c r="G5" s="23"/>
    </row>
    <row r="6" spans="1:12">
      <c r="A6" s="23" t="s">
        <v>11</v>
      </c>
      <c r="B6" s="25">
        <v>43365</v>
      </c>
      <c r="C6" s="23"/>
      <c r="D6" s="23"/>
      <c r="E6" s="23"/>
      <c r="F6" s="23"/>
      <c r="G6" s="23"/>
    </row>
    <row r="7" spans="1:12">
      <c r="A7" s="23" t="s">
        <v>12</v>
      </c>
      <c r="B7" s="25">
        <v>43369</v>
      </c>
      <c r="C7" s="23"/>
      <c r="D7" s="23"/>
      <c r="E7" s="23"/>
      <c r="F7" s="23"/>
      <c r="G7" s="23"/>
    </row>
    <row r="8" spans="1:12">
      <c r="A8" s="23"/>
      <c r="B8" s="25"/>
      <c r="C8" s="23"/>
      <c r="D8" s="23"/>
      <c r="E8" s="23"/>
      <c r="F8" s="23"/>
      <c r="G8" s="23"/>
    </row>
    <row r="9" spans="1:12">
      <c r="A9" s="26" t="s">
        <v>1</v>
      </c>
      <c r="B9" s="76" t="s">
        <v>42</v>
      </c>
      <c r="C9" s="23"/>
      <c r="D9" s="23"/>
      <c r="E9" s="23"/>
      <c r="F9" s="23"/>
      <c r="G9" s="23"/>
    </row>
    <row r="10" spans="1:12" ht="15.75">
      <c r="A10" s="26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  <c r="J10" s="35"/>
      <c r="K10" s="37"/>
    </row>
    <row r="11" spans="1:12" ht="15.75">
      <c r="A11" s="26" t="s">
        <v>4</v>
      </c>
      <c r="B11" s="29">
        <v>251700</v>
      </c>
      <c r="C11" s="29">
        <v>66700</v>
      </c>
      <c r="D11" s="29"/>
      <c r="E11" s="29">
        <f>B11+C11+D11</f>
        <v>318400</v>
      </c>
      <c r="F11" s="30" t="s">
        <v>14</v>
      </c>
      <c r="G11" s="125">
        <v>9</v>
      </c>
      <c r="J11" s="35"/>
      <c r="K11" s="93"/>
    </row>
    <row r="12" spans="1:12" ht="18">
      <c r="A12" s="26" t="s">
        <v>5</v>
      </c>
      <c r="B12" s="29">
        <v>392100</v>
      </c>
      <c r="C12" s="29">
        <v>77300</v>
      </c>
      <c r="D12" s="29"/>
      <c r="E12" s="29">
        <f>B12+C12+D12</f>
        <v>469400</v>
      </c>
      <c r="F12" s="30" t="s">
        <v>14</v>
      </c>
      <c r="G12" s="125"/>
      <c r="I12" s="16"/>
      <c r="J12" s="36"/>
      <c r="K12" s="94"/>
    </row>
    <row r="13" spans="1:12">
      <c r="A13" s="23"/>
      <c r="B13" s="23"/>
      <c r="C13" s="23"/>
      <c r="D13" s="23"/>
      <c r="E13" s="23"/>
      <c r="F13" s="23"/>
      <c r="G13" s="23"/>
      <c r="I13" s="16"/>
      <c r="J13" s="36"/>
      <c r="K13" s="95"/>
    </row>
    <row r="14" spans="1:12">
      <c r="A14" s="26" t="s">
        <v>1</v>
      </c>
      <c r="B14" s="76" t="s">
        <v>44</v>
      </c>
      <c r="C14" s="23"/>
      <c r="D14" s="23"/>
      <c r="E14" s="23"/>
      <c r="F14" s="23"/>
      <c r="G14" s="23"/>
      <c r="J14" s="3"/>
      <c r="K14" s="3"/>
      <c r="L14" s="3"/>
    </row>
    <row r="15" spans="1:12">
      <c r="A15" s="26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5">
        <f>G11+G16+G21</f>
        <v>11</v>
      </c>
      <c r="K15" s="3"/>
      <c r="L15" s="3"/>
    </row>
    <row r="16" spans="1:12">
      <c r="A16" s="26" t="s">
        <v>4</v>
      </c>
      <c r="B16" s="29">
        <v>233500</v>
      </c>
      <c r="C16" s="29">
        <v>65400</v>
      </c>
      <c r="D16" s="29"/>
      <c r="E16" s="29">
        <f>B16+C16+D16</f>
        <v>298900</v>
      </c>
      <c r="F16" s="30" t="s">
        <v>14</v>
      </c>
      <c r="G16" s="125">
        <v>1</v>
      </c>
      <c r="I16" s="54" t="s">
        <v>61</v>
      </c>
      <c r="J16" s="55">
        <f>(G11*100/(G11+G16+G21))^2+(G16*100/(G11+G16+G21))^2+(G21*100/(G11+G16+G21))^2</f>
        <v>6859.5041322314037</v>
      </c>
      <c r="K16" s="14"/>
      <c r="L16" s="3"/>
    </row>
    <row r="17" spans="1:12" ht="18">
      <c r="A17" s="26" t="s">
        <v>5</v>
      </c>
      <c r="B17" s="29">
        <v>233500</v>
      </c>
      <c r="C17" s="29">
        <v>65400</v>
      </c>
      <c r="D17" s="29"/>
      <c r="E17" s="29">
        <f>B17+C17+D17</f>
        <v>298900</v>
      </c>
      <c r="F17" s="30" t="s">
        <v>14</v>
      </c>
      <c r="G17" s="125"/>
      <c r="J17" s="94"/>
      <c r="K17" s="12"/>
      <c r="L17" s="3"/>
    </row>
    <row r="18" spans="1:12">
      <c r="A18" s="23"/>
      <c r="B18" s="23"/>
      <c r="C18" s="23"/>
      <c r="D18" s="23"/>
      <c r="E18" s="23"/>
      <c r="F18" s="23"/>
      <c r="G18" s="23"/>
      <c r="J18" s="95"/>
      <c r="K18" s="3"/>
    </row>
    <row r="19" spans="1:12">
      <c r="A19" s="26" t="s">
        <v>1</v>
      </c>
      <c r="B19" s="76" t="s">
        <v>45</v>
      </c>
      <c r="C19" s="23"/>
      <c r="D19" s="23"/>
      <c r="E19" s="23"/>
      <c r="F19" s="23"/>
      <c r="G19" s="23"/>
      <c r="J19" s="36"/>
    </row>
    <row r="20" spans="1:12">
      <c r="A20" s="26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J20" s="96"/>
    </row>
    <row r="21" spans="1:12">
      <c r="A21" s="26" t="s">
        <v>4</v>
      </c>
      <c r="B21" s="29">
        <v>233500</v>
      </c>
      <c r="C21" s="29">
        <v>65400</v>
      </c>
      <c r="D21" s="29"/>
      <c r="E21" s="29">
        <f>B21+C21+D21</f>
        <v>298900</v>
      </c>
      <c r="F21" s="30" t="s">
        <v>14</v>
      </c>
      <c r="G21" s="125">
        <v>1</v>
      </c>
      <c r="I21" s="37"/>
      <c r="J21" s="97"/>
    </row>
    <row r="22" spans="1:12">
      <c r="A22" s="26" t="s">
        <v>5</v>
      </c>
      <c r="B22" s="29">
        <v>233500</v>
      </c>
      <c r="C22" s="29">
        <v>65400</v>
      </c>
      <c r="D22" s="29"/>
      <c r="E22" s="29">
        <f>B22+C22+D22</f>
        <v>298900</v>
      </c>
      <c r="F22" s="30" t="s">
        <v>14</v>
      </c>
      <c r="G22" s="125"/>
      <c r="I22" s="93"/>
      <c r="J22" s="36"/>
    </row>
    <row r="23" spans="1:12" ht="18">
      <c r="I23" s="94"/>
    </row>
    <row r="24" spans="1:12">
      <c r="A24" s="23"/>
      <c r="B24" s="31" t="s">
        <v>8</v>
      </c>
      <c r="C24" s="31" t="s">
        <v>7</v>
      </c>
      <c r="D24" s="31" t="s">
        <v>6</v>
      </c>
      <c r="E24" s="31" t="s">
        <v>10</v>
      </c>
      <c r="I24" s="95"/>
    </row>
    <row r="25" spans="1:12">
      <c r="A25" s="26" t="s">
        <v>19</v>
      </c>
      <c r="B25" s="29">
        <f>(((B11+B12)/2*$G$11+(B16+B17)/2*$G$16+(B21+B22)/2*$G$21)/($G$11+$G$16+$G$21))/$B$5</f>
        <v>977.8962484084949</v>
      </c>
      <c r="C25" s="29">
        <f>(((C11+C12)/2*$G$11+(C16+C17)/2*$G$16+(C21+C22)/2*$G$21)/($G$11+$G$16+$G$21))/$B$5</f>
        <v>226.38613544797596</v>
      </c>
      <c r="D25" s="29">
        <f>(((D11+D12)/2*$G$11+(D16+D17)/2*$G$16+(D21+D22)/2*$G$21)/($G$11+$G$16+$G$21))/$B$5</f>
        <v>0</v>
      </c>
      <c r="E25" s="29">
        <f>B25+C25+D25</f>
        <v>1204.2823838564709</v>
      </c>
      <c r="I25" s="36"/>
    </row>
    <row r="26" spans="1:12">
      <c r="I26" s="96"/>
    </row>
    <row r="27" spans="1:12">
      <c r="I27" s="97"/>
    </row>
    <row r="29" spans="1:12">
      <c r="A29" s="23" t="s">
        <v>9</v>
      </c>
      <c r="B29" s="23" t="s">
        <v>46</v>
      </c>
      <c r="C29" s="23"/>
      <c r="D29" s="23"/>
      <c r="E29" s="23"/>
      <c r="F29" s="23"/>
      <c r="G29" s="23"/>
    </row>
    <row r="30" spans="1:12">
      <c r="A30" s="23" t="s">
        <v>18</v>
      </c>
      <c r="B30" s="23">
        <v>938</v>
      </c>
      <c r="C30" s="23"/>
      <c r="D30" s="23"/>
      <c r="E30" s="23"/>
      <c r="F30" s="23"/>
      <c r="G30" s="23"/>
    </row>
    <row r="31" spans="1:12">
      <c r="A31" s="23" t="s">
        <v>11</v>
      </c>
      <c r="B31" s="25">
        <v>43365</v>
      </c>
      <c r="C31" s="23"/>
      <c r="D31" s="23"/>
      <c r="E31" s="23"/>
      <c r="F31" s="23"/>
      <c r="G31" s="23"/>
    </row>
    <row r="32" spans="1:12">
      <c r="A32" s="23" t="s">
        <v>12</v>
      </c>
      <c r="B32" s="25">
        <v>43369</v>
      </c>
      <c r="C32" s="23"/>
      <c r="D32" s="23"/>
      <c r="E32" s="23"/>
      <c r="F32" s="23"/>
      <c r="G32" s="23"/>
    </row>
    <row r="33" spans="1:10">
      <c r="A33" s="23"/>
      <c r="B33" s="25"/>
      <c r="C33" s="23"/>
      <c r="D33" s="23"/>
      <c r="E33" s="23"/>
      <c r="F33" s="23"/>
      <c r="G33" s="23"/>
    </row>
    <row r="34" spans="1:10">
      <c r="A34" s="26" t="s">
        <v>1</v>
      </c>
      <c r="B34" s="76" t="s">
        <v>47</v>
      </c>
      <c r="C34" s="23"/>
      <c r="D34" s="23"/>
      <c r="E34" s="23"/>
      <c r="F34" s="23"/>
      <c r="G34" s="23"/>
    </row>
    <row r="35" spans="1:10" ht="15.75">
      <c r="A35" s="26" t="s">
        <v>3</v>
      </c>
      <c r="B35" s="28" t="s">
        <v>8</v>
      </c>
      <c r="C35" s="28" t="s">
        <v>7</v>
      </c>
      <c r="D35" s="28" t="s">
        <v>6</v>
      </c>
      <c r="E35" s="28" t="s">
        <v>10</v>
      </c>
      <c r="F35" s="28" t="s">
        <v>13</v>
      </c>
      <c r="G35" s="28" t="s">
        <v>15</v>
      </c>
      <c r="J35" s="35"/>
    </row>
    <row r="36" spans="1:10">
      <c r="A36" s="26" t="s">
        <v>4</v>
      </c>
      <c r="B36" s="29">
        <v>160300</v>
      </c>
      <c r="C36" s="29">
        <v>59900</v>
      </c>
      <c r="D36" s="29"/>
      <c r="E36" s="29">
        <f>B36+C36+D36</f>
        <v>220200</v>
      </c>
      <c r="F36" s="30" t="s">
        <v>14</v>
      </c>
      <c r="G36" s="125">
        <v>2</v>
      </c>
      <c r="J36" s="36"/>
    </row>
    <row r="37" spans="1:10">
      <c r="A37" s="26" t="s">
        <v>5</v>
      </c>
      <c r="B37" s="29">
        <v>160300</v>
      </c>
      <c r="C37" s="29">
        <v>59900</v>
      </c>
      <c r="D37" s="29"/>
      <c r="E37" s="29">
        <f>B37+C37+D37</f>
        <v>220200</v>
      </c>
      <c r="F37" s="30" t="s">
        <v>14</v>
      </c>
      <c r="G37" s="125"/>
      <c r="J37" s="36"/>
    </row>
    <row r="38" spans="1:10">
      <c r="A38" s="23"/>
      <c r="B38" s="23"/>
      <c r="C38" s="23"/>
      <c r="D38" s="23"/>
      <c r="E38" s="23"/>
      <c r="F38" s="23"/>
      <c r="G38" s="23"/>
      <c r="J38" s="36"/>
    </row>
    <row r="39" spans="1:10">
      <c r="A39" s="26" t="s">
        <v>1</v>
      </c>
      <c r="B39" s="76" t="s">
        <v>43</v>
      </c>
      <c r="C39" s="23"/>
      <c r="D39" s="23"/>
      <c r="E39" s="23"/>
      <c r="F39" s="23"/>
      <c r="G39" s="23"/>
    </row>
    <row r="40" spans="1:10">
      <c r="A40" s="26" t="s">
        <v>3</v>
      </c>
      <c r="B40" s="28" t="s">
        <v>8</v>
      </c>
      <c r="C40" s="28" t="s">
        <v>7</v>
      </c>
      <c r="D40" s="28" t="s">
        <v>6</v>
      </c>
      <c r="E40" s="28" t="s">
        <v>10</v>
      </c>
      <c r="F40" s="28" t="s">
        <v>13</v>
      </c>
      <c r="G40" s="28" t="s">
        <v>15</v>
      </c>
      <c r="I40" s="57" t="s">
        <v>63</v>
      </c>
      <c r="J40" s="15">
        <f>G36+G41+G46</f>
        <v>30</v>
      </c>
    </row>
    <row r="41" spans="1:10">
      <c r="A41" s="26" t="s">
        <v>4</v>
      </c>
      <c r="B41" s="29">
        <v>260500</v>
      </c>
      <c r="C41" s="29">
        <v>67400</v>
      </c>
      <c r="D41" s="29"/>
      <c r="E41" s="29">
        <f>B41+C41+D41</f>
        <v>327900</v>
      </c>
      <c r="F41" s="30" t="s">
        <v>14</v>
      </c>
      <c r="G41" s="125">
        <v>22</v>
      </c>
      <c r="I41" s="54" t="s">
        <v>61</v>
      </c>
      <c r="J41" s="55">
        <f>(G36*100/(G36+G41+G46+G51))^2+(G41*100/(G36+G41+G46+G51))^2+(G46*100/(G36+G41+G46+G51))^2+(G51*100/(G36+G41+G46+G51))^2</f>
        <v>5822.2222222222217</v>
      </c>
    </row>
    <row r="42" spans="1:10" ht="15.75">
      <c r="A42" s="26" t="s">
        <v>5</v>
      </c>
      <c r="B42" s="29">
        <v>415500</v>
      </c>
      <c r="C42" s="29">
        <v>79000</v>
      </c>
      <c r="D42" s="29"/>
      <c r="E42" s="29">
        <f>B42+C42+D42</f>
        <v>494500</v>
      </c>
      <c r="F42" s="30" t="s">
        <v>14</v>
      </c>
      <c r="G42" s="125"/>
      <c r="J42" s="35"/>
    </row>
    <row r="43" spans="1:10">
      <c r="A43" s="23"/>
      <c r="B43" s="23"/>
      <c r="C43" s="23"/>
      <c r="D43" s="23"/>
      <c r="E43" s="23"/>
      <c r="F43" s="23"/>
      <c r="G43" s="23"/>
      <c r="J43" s="37"/>
    </row>
    <row r="44" spans="1:10">
      <c r="A44" s="26" t="s">
        <v>1</v>
      </c>
      <c r="B44" s="76" t="s">
        <v>42</v>
      </c>
      <c r="C44" s="23"/>
      <c r="D44" s="23"/>
      <c r="E44" s="23"/>
      <c r="F44" s="23"/>
      <c r="G44" s="23"/>
      <c r="J44" s="93"/>
    </row>
    <row r="45" spans="1:10" ht="18">
      <c r="A45" s="26" t="s">
        <v>3</v>
      </c>
      <c r="B45" s="28" t="s">
        <v>8</v>
      </c>
      <c r="C45" s="28" t="s">
        <v>7</v>
      </c>
      <c r="D45" s="28" t="s">
        <v>6</v>
      </c>
      <c r="E45" s="28" t="s">
        <v>10</v>
      </c>
      <c r="F45" s="28" t="s">
        <v>13</v>
      </c>
      <c r="G45" s="28" t="s">
        <v>15</v>
      </c>
      <c r="J45" s="94"/>
    </row>
    <row r="46" spans="1:10" ht="15.75">
      <c r="A46" s="26" t="s">
        <v>4</v>
      </c>
      <c r="B46" s="29">
        <v>348200</v>
      </c>
      <c r="C46" s="29">
        <v>74000</v>
      </c>
      <c r="D46" s="29"/>
      <c r="E46" s="29">
        <f>B46+C46+D46</f>
        <v>422200</v>
      </c>
      <c r="F46" s="30" t="s">
        <v>14</v>
      </c>
      <c r="G46" s="125">
        <v>6</v>
      </c>
      <c r="I46" s="35"/>
      <c r="J46" s="95"/>
    </row>
    <row r="47" spans="1:10">
      <c r="A47" s="26" t="s">
        <v>5</v>
      </c>
      <c r="B47" s="29">
        <v>348200</v>
      </c>
      <c r="C47" s="29">
        <v>74000</v>
      </c>
      <c r="D47" s="29"/>
      <c r="E47" s="29">
        <f>B47+C47+D47</f>
        <v>422200</v>
      </c>
      <c r="F47" s="30" t="s">
        <v>14</v>
      </c>
      <c r="G47" s="125"/>
      <c r="I47" s="36"/>
      <c r="J47" s="36"/>
    </row>
    <row r="48" spans="1:10">
      <c r="A48" s="23"/>
      <c r="B48" s="23"/>
      <c r="C48" s="23"/>
      <c r="D48" s="23"/>
      <c r="E48" s="23"/>
      <c r="F48" s="23"/>
      <c r="G48" s="23"/>
      <c r="I48" s="36"/>
      <c r="J48" s="96"/>
    </row>
    <row r="49" spans="1:11">
      <c r="A49" s="23"/>
      <c r="B49" s="31" t="s">
        <v>8</v>
      </c>
      <c r="C49" s="31" t="s">
        <v>7</v>
      </c>
      <c r="D49" s="31" t="s">
        <v>6</v>
      </c>
      <c r="E49" s="31" t="s">
        <v>10</v>
      </c>
      <c r="J49" s="97"/>
    </row>
    <row r="50" spans="1:11">
      <c r="A50" s="26" t="s">
        <v>19</v>
      </c>
      <c r="B50" s="29">
        <f>(((B36+B37)/2*$G$36+(B41+B42)/2*$G$41+(B46+B47)/2*$G$46)/($G$36+$G$41+$G$46))/$B$30</f>
        <v>349.88628287135748</v>
      </c>
      <c r="C50" s="29">
        <f t="shared" ref="C50:D50" si="0">(((C36+C37)/2*$G$36+(C41+C42)/2*$G$41+(C46+C47)/2*$G$46)/($G$36+$G$41+$G$46))/$B$30</f>
        <v>77.263681592039802</v>
      </c>
      <c r="D50" s="29">
        <f t="shared" si="0"/>
        <v>0</v>
      </c>
      <c r="E50" s="29">
        <f>B50+C50+D50</f>
        <v>427.14996446339728</v>
      </c>
      <c r="J50" s="97"/>
    </row>
    <row r="54" spans="1:11">
      <c r="A54" s="23" t="s">
        <v>9</v>
      </c>
      <c r="B54" s="23" t="s">
        <v>48</v>
      </c>
      <c r="C54" s="23"/>
      <c r="D54" s="23"/>
      <c r="E54" s="23"/>
      <c r="F54" s="23"/>
      <c r="G54" s="23"/>
    </row>
    <row r="55" spans="1:11">
      <c r="A55" s="23" t="s">
        <v>18</v>
      </c>
      <c r="B55" s="23">
        <v>544.75</v>
      </c>
      <c r="C55" s="23"/>
      <c r="D55" s="23"/>
      <c r="E55" s="23"/>
      <c r="F55" s="23"/>
      <c r="G55" s="23"/>
    </row>
    <row r="56" spans="1:11">
      <c r="A56" s="23" t="s">
        <v>11</v>
      </c>
      <c r="B56" s="25">
        <v>43365</v>
      </c>
      <c r="C56" s="23"/>
      <c r="D56" s="23"/>
      <c r="E56" s="23"/>
      <c r="F56" s="23"/>
      <c r="G56" s="23"/>
    </row>
    <row r="57" spans="1:11">
      <c r="A57" s="23" t="s">
        <v>12</v>
      </c>
      <c r="B57" s="25">
        <v>43369</v>
      </c>
      <c r="C57" s="23"/>
      <c r="D57" s="23"/>
      <c r="E57" s="23"/>
      <c r="F57" s="23"/>
      <c r="G57" s="23"/>
    </row>
    <row r="58" spans="1:11">
      <c r="A58" s="23"/>
      <c r="B58" s="25"/>
      <c r="C58" s="23"/>
      <c r="D58" s="23"/>
      <c r="E58" s="23"/>
      <c r="F58" s="23"/>
      <c r="G58" s="23"/>
      <c r="K58" s="37"/>
    </row>
    <row r="59" spans="1:11">
      <c r="A59" s="26" t="s">
        <v>1</v>
      </c>
      <c r="B59" s="76" t="s">
        <v>43</v>
      </c>
      <c r="C59" s="23"/>
      <c r="D59" s="23"/>
      <c r="E59" s="23"/>
      <c r="F59" s="23"/>
      <c r="G59" s="23"/>
      <c r="K59" s="93"/>
    </row>
    <row r="60" spans="1:11" ht="18">
      <c r="A60" s="26" t="s">
        <v>3</v>
      </c>
      <c r="B60" s="28" t="s">
        <v>8</v>
      </c>
      <c r="C60" s="28" t="s">
        <v>7</v>
      </c>
      <c r="D60" s="28" t="s">
        <v>6</v>
      </c>
      <c r="E60" s="28" t="s">
        <v>10</v>
      </c>
      <c r="F60" s="28" t="s">
        <v>13</v>
      </c>
      <c r="G60" s="28" t="s">
        <v>15</v>
      </c>
      <c r="J60" s="35"/>
      <c r="K60" s="94"/>
    </row>
    <row r="61" spans="1:11">
      <c r="A61" s="26" t="s">
        <v>4</v>
      </c>
      <c r="B61" s="29">
        <v>108300</v>
      </c>
      <c r="C61" s="29">
        <v>56000</v>
      </c>
      <c r="D61" s="29"/>
      <c r="E61" s="29">
        <f>B61+C61+D61</f>
        <v>164300</v>
      </c>
      <c r="F61" s="30" t="s">
        <v>14</v>
      </c>
      <c r="G61" s="125">
        <v>8</v>
      </c>
      <c r="J61" s="36"/>
      <c r="K61" s="95"/>
    </row>
    <row r="62" spans="1:11">
      <c r="A62" s="26" t="s">
        <v>5</v>
      </c>
      <c r="B62" s="29">
        <v>175600</v>
      </c>
      <c r="C62" s="29">
        <v>61000</v>
      </c>
      <c r="D62" s="29"/>
      <c r="E62" s="29">
        <f>B62+C62+D62</f>
        <v>236600</v>
      </c>
      <c r="F62" s="30" t="s">
        <v>14</v>
      </c>
      <c r="G62" s="125"/>
      <c r="J62" s="36"/>
      <c r="K62" s="36"/>
    </row>
    <row r="63" spans="1:11">
      <c r="A63" s="23"/>
      <c r="B63" s="23"/>
      <c r="C63" s="23"/>
      <c r="D63" s="23"/>
      <c r="E63" s="23"/>
      <c r="F63" s="23"/>
      <c r="G63" s="23"/>
      <c r="J63" s="36"/>
      <c r="K63" s="96"/>
    </row>
    <row r="64" spans="1:11">
      <c r="A64" s="26" t="s">
        <v>1</v>
      </c>
      <c r="B64" s="76" t="s">
        <v>49</v>
      </c>
      <c r="C64" s="23"/>
      <c r="D64" s="23"/>
      <c r="E64" s="23"/>
      <c r="F64" s="23"/>
      <c r="G64" s="23"/>
      <c r="K64" s="97"/>
    </row>
    <row r="65" spans="1:10">
      <c r="A65" s="26" t="s">
        <v>3</v>
      </c>
      <c r="B65" s="28" t="s">
        <v>8</v>
      </c>
      <c r="C65" s="28" t="s">
        <v>7</v>
      </c>
      <c r="D65" s="28" t="s">
        <v>6</v>
      </c>
      <c r="E65" s="28" t="s">
        <v>10</v>
      </c>
      <c r="F65" s="28" t="s">
        <v>13</v>
      </c>
      <c r="G65" s="28" t="s">
        <v>15</v>
      </c>
      <c r="I65" s="57" t="s">
        <v>63</v>
      </c>
      <c r="J65" s="15">
        <f>G61+G66+G71+G76</f>
        <v>54</v>
      </c>
    </row>
    <row r="66" spans="1:10">
      <c r="A66" s="26" t="s">
        <v>4</v>
      </c>
      <c r="B66" s="29">
        <v>108300</v>
      </c>
      <c r="C66" s="29">
        <v>56000</v>
      </c>
      <c r="D66" s="29"/>
      <c r="E66" s="29">
        <f>B66+C66+D66</f>
        <v>164300</v>
      </c>
      <c r="F66" s="30" t="s">
        <v>14</v>
      </c>
      <c r="G66" s="125">
        <v>11</v>
      </c>
      <c r="I66" s="54" t="s">
        <v>61</v>
      </c>
      <c r="J66" s="55">
        <f>(G61*100/(G61+G66+G71+G76))^2+(G66*100/(G61+G66+G71+G76))^2+(G71*100/(G61+G66+G71+G76))^2+(G76*100/(G61+G66+G71+G76))^2</f>
        <v>2777.7777777777778</v>
      </c>
    </row>
    <row r="67" spans="1:10">
      <c r="A67" s="26" t="s">
        <v>5</v>
      </c>
      <c r="B67" s="29">
        <v>175600</v>
      </c>
      <c r="C67" s="29">
        <v>61000</v>
      </c>
      <c r="D67" s="29"/>
      <c r="E67" s="29">
        <f>B67+C67+D67</f>
        <v>236600</v>
      </c>
      <c r="F67" s="30" t="s">
        <v>14</v>
      </c>
      <c r="G67" s="125"/>
      <c r="J67" s="36"/>
    </row>
    <row r="68" spans="1:10">
      <c r="A68" s="23"/>
      <c r="B68" s="23"/>
      <c r="C68" s="23"/>
      <c r="D68" s="23"/>
      <c r="E68" s="23"/>
      <c r="F68" s="23"/>
      <c r="G68" s="23"/>
      <c r="J68" s="37"/>
    </row>
    <row r="69" spans="1:10">
      <c r="A69" s="26" t="s">
        <v>1</v>
      </c>
      <c r="B69" s="76" t="s">
        <v>42</v>
      </c>
      <c r="C69" s="23"/>
      <c r="D69" s="23"/>
      <c r="E69" s="23"/>
      <c r="F69" s="23"/>
      <c r="G69" s="23"/>
      <c r="I69" s="37"/>
      <c r="J69" s="93"/>
    </row>
    <row r="70" spans="1:10" ht="18">
      <c r="A70" s="26" t="s">
        <v>3</v>
      </c>
      <c r="B70" s="28" t="s">
        <v>8</v>
      </c>
      <c r="C70" s="28" t="s">
        <v>7</v>
      </c>
      <c r="D70" s="28" t="s">
        <v>6</v>
      </c>
      <c r="E70" s="28" t="s">
        <v>10</v>
      </c>
      <c r="F70" s="28" t="s">
        <v>13</v>
      </c>
      <c r="G70" s="28" t="s">
        <v>15</v>
      </c>
      <c r="I70" s="93"/>
      <c r="J70" s="94"/>
    </row>
    <row r="71" spans="1:10">
      <c r="A71" s="26" t="s">
        <v>4</v>
      </c>
      <c r="B71" s="29">
        <v>175600</v>
      </c>
      <c r="C71" s="29">
        <v>61000</v>
      </c>
      <c r="D71" s="29"/>
      <c r="E71" s="29">
        <f>B71+C71+D71</f>
        <v>236600</v>
      </c>
      <c r="F71" s="30" t="s">
        <v>14</v>
      </c>
      <c r="G71" s="125">
        <v>15</v>
      </c>
      <c r="I71" s="37"/>
      <c r="J71" s="95"/>
    </row>
    <row r="72" spans="1:10">
      <c r="A72" s="26" t="s">
        <v>5</v>
      </c>
      <c r="B72" s="29">
        <v>362900</v>
      </c>
      <c r="C72" s="29">
        <v>75100</v>
      </c>
      <c r="D72" s="29"/>
      <c r="E72" s="29">
        <f>B72+C72+D72</f>
        <v>438000</v>
      </c>
      <c r="F72" s="30" t="s">
        <v>14</v>
      </c>
      <c r="G72" s="125"/>
      <c r="I72" s="93"/>
      <c r="J72" s="36"/>
    </row>
    <row r="73" spans="1:10" ht="18">
      <c r="A73" s="23"/>
      <c r="B73" s="23"/>
      <c r="C73" s="23"/>
      <c r="D73" s="23"/>
      <c r="E73" s="23"/>
      <c r="F73" s="23"/>
      <c r="G73" s="23"/>
      <c r="I73" s="94"/>
      <c r="J73" s="96"/>
    </row>
    <row r="74" spans="1:10">
      <c r="A74" s="26" t="s">
        <v>1</v>
      </c>
      <c r="B74" s="76" t="s">
        <v>44</v>
      </c>
      <c r="C74" s="23"/>
      <c r="D74" s="23"/>
      <c r="E74" s="23"/>
      <c r="F74" s="23"/>
      <c r="G74" s="23"/>
      <c r="I74" s="95"/>
      <c r="J74" s="97"/>
    </row>
    <row r="75" spans="1:10">
      <c r="A75" s="26" t="s">
        <v>3</v>
      </c>
      <c r="B75" s="28" t="s">
        <v>8</v>
      </c>
      <c r="C75" s="28" t="s">
        <v>7</v>
      </c>
      <c r="D75" s="28" t="s">
        <v>6</v>
      </c>
      <c r="E75" s="28" t="s">
        <v>10</v>
      </c>
      <c r="F75" s="28" t="s">
        <v>13</v>
      </c>
      <c r="G75" s="28" t="s">
        <v>15</v>
      </c>
      <c r="I75" s="36"/>
    </row>
    <row r="76" spans="1:10" ht="15.75">
      <c r="A76" s="26" t="s">
        <v>4</v>
      </c>
      <c r="B76" s="29">
        <v>175600</v>
      </c>
      <c r="C76" s="29">
        <v>61000</v>
      </c>
      <c r="D76" s="29"/>
      <c r="E76" s="29">
        <f>B76+C76+D76</f>
        <v>236600</v>
      </c>
      <c r="F76" s="30" t="s">
        <v>14</v>
      </c>
      <c r="G76" s="125">
        <v>20</v>
      </c>
      <c r="I76" s="96"/>
      <c r="J76" s="35"/>
    </row>
    <row r="77" spans="1:10">
      <c r="A77" s="26" t="s">
        <v>5</v>
      </c>
      <c r="B77" s="29">
        <v>614500</v>
      </c>
      <c r="C77" s="29">
        <v>93900</v>
      </c>
      <c r="D77" s="29"/>
      <c r="E77" s="29">
        <f>B77+C77+D77</f>
        <v>708400</v>
      </c>
      <c r="F77" s="30" t="s">
        <v>14</v>
      </c>
      <c r="G77" s="125"/>
      <c r="I77" s="97"/>
      <c r="J77" s="36"/>
    </row>
    <row r="78" spans="1:10">
      <c r="A78" s="23"/>
      <c r="B78" s="23"/>
      <c r="C78" s="23"/>
      <c r="D78" s="23"/>
      <c r="E78" s="23"/>
      <c r="F78" s="23"/>
      <c r="G78" s="23"/>
      <c r="J78" s="36"/>
    </row>
    <row r="79" spans="1:10">
      <c r="A79" s="23"/>
      <c r="B79" s="31" t="s">
        <v>8</v>
      </c>
      <c r="C79" s="31" t="s">
        <v>7</v>
      </c>
      <c r="D79" s="31" t="s">
        <v>6</v>
      </c>
      <c r="E79" s="31" t="s">
        <v>10</v>
      </c>
    </row>
    <row r="80" spans="1:10">
      <c r="A80" s="26" t="s">
        <v>19</v>
      </c>
      <c r="B80" s="29">
        <f>(((B61+B62)/2*$G$61+(B66+B67)/2*$G$66+(B71+B72)/2*$G$71+(B76+B77)/2*$G$76)/($G$61+$G$66+$G$71+$G$76))/$B$55</f>
        <v>497.57109105434023</v>
      </c>
      <c r="C80" s="29">
        <f t="shared" ref="C80:D80" si="1">(((C61+C62)/2*$G$61+(C66+C67)/2*$G$66+(C71+C72)/2*$G$71+(C76+C77)/2*$G$76)/($G$61+$G$66+$G$71+$G$76))/$B$55</f>
        <v>125.1423520813149</v>
      </c>
      <c r="D80" s="29">
        <f t="shared" si="1"/>
        <v>0</v>
      </c>
      <c r="E80" s="29">
        <f>B80+C80+D80</f>
        <v>622.7134431356551</v>
      </c>
    </row>
    <row r="84" spans="1:11">
      <c r="A84" s="23" t="s">
        <v>9</v>
      </c>
      <c r="B84" s="23" t="s">
        <v>50</v>
      </c>
      <c r="C84" s="23"/>
      <c r="D84" s="23"/>
      <c r="E84" s="23"/>
      <c r="F84" s="23"/>
      <c r="G84" s="23"/>
    </row>
    <row r="85" spans="1:11">
      <c r="A85" s="23" t="s">
        <v>18</v>
      </c>
      <c r="B85" s="23">
        <v>664</v>
      </c>
      <c r="C85" s="23"/>
      <c r="D85" s="23"/>
      <c r="E85" s="23"/>
      <c r="F85" s="23"/>
      <c r="G85" s="23"/>
    </row>
    <row r="86" spans="1:11">
      <c r="A86" s="23" t="s">
        <v>11</v>
      </c>
      <c r="B86" s="25">
        <v>43365</v>
      </c>
      <c r="C86" s="23"/>
      <c r="D86" s="23"/>
      <c r="E86" s="23"/>
      <c r="F86" s="23"/>
      <c r="G86" s="23"/>
    </row>
    <row r="87" spans="1:11">
      <c r="A87" s="23" t="s">
        <v>12</v>
      </c>
      <c r="B87" s="25">
        <v>43369</v>
      </c>
      <c r="C87" s="23"/>
      <c r="D87" s="23"/>
      <c r="E87" s="23"/>
      <c r="F87" s="23"/>
      <c r="G87" s="23"/>
    </row>
    <row r="88" spans="1:11">
      <c r="A88" s="23"/>
      <c r="B88" s="25"/>
      <c r="C88" s="23"/>
      <c r="D88" s="23"/>
      <c r="E88" s="23"/>
      <c r="F88" s="23"/>
      <c r="G88" s="23"/>
    </row>
    <row r="89" spans="1:11">
      <c r="A89" s="26" t="s">
        <v>1</v>
      </c>
      <c r="B89" s="76" t="s">
        <v>47</v>
      </c>
      <c r="C89" s="23"/>
      <c r="D89" s="23"/>
      <c r="E89" s="23"/>
      <c r="F89" s="23"/>
      <c r="G89" s="23"/>
    </row>
    <row r="90" spans="1:11" ht="15.75">
      <c r="A90" s="26" t="s">
        <v>3</v>
      </c>
      <c r="B90" s="28" t="s">
        <v>8</v>
      </c>
      <c r="C90" s="28" t="s">
        <v>7</v>
      </c>
      <c r="D90" s="28" t="s">
        <v>6</v>
      </c>
      <c r="E90" s="28" t="s">
        <v>10</v>
      </c>
      <c r="F90" s="28" t="s">
        <v>13</v>
      </c>
      <c r="G90" s="28" t="s">
        <v>15</v>
      </c>
      <c r="J90" s="35"/>
      <c r="K90" s="37"/>
    </row>
    <row r="91" spans="1:11">
      <c r="A91" s="26" t="s">
        <v>4</v>
      </c>
      <c r="B91" s="29">
        <v>628800</v>
      </c>
      <c r="C91" s="29">
        <v>95000</v>
      </c>
      <c r="D91" s="29"/>
      <c r="E91" s="29">
        <f>B91+C91+D91</f>
        <v>723800</v>
      </c>
      <c r="F91" s="30" t="s">
        <v>14</v>
      </c>
      <c r="G91" s="125">
        <v>2</v>
      </c>
      <c r="J91" s="36"/>
      <c r="K91" s="93"/>
    </row>
    <row r="92" spans="1:11" ht="18">
      <c r="A92" s="26" t="s">
        <v>5</v>
      </c>
      <c r="B92" s="29">
        <v>628800</v>
      </c>
      <c r="C92" s="29">
        <v>95000</v>
      </c>
      <c r="D92" s="29"/>
      <c r="E92" s="29">
        <f>B92+C92+D92</f>
        <v>723800</v>
      </c>
      <c r="F92" s="30" t="s">
        <v>14</v>
      </c>
      <c r="G92" s="125"/>
      <c r="J92" s="36"/>
      <c r="K92" s="94"/>
    </row>
    <row r="93" spans="1:11">
      <c r="A93" s="23"/>
      <c r="B93" s="23"/>
      <c r="C93" s="23"/>
      <c r="D93" s="23"/>
      <c r="E93" s="23"/>
      <c r="F93" s="23"/>
      <c r="G93" s="23"/>
      <c r="J93" s="37"/>
    </row>
    <row r="94" spans="1:11">
      <c r="A94" s="26" t="s">
        <v>1</v>
      </c>
      <c r="B94" s="76" t="s">
        <v>49</v>
      </c>
      <c r="C94" s="23"/>
      <c r="D94" s="23"/>
      <c r="E94" s="23"/>
      <c r="F94" s="23"/>
      <c r="G94" s="23"/>
      <c r="J94" s="93"/>
    </row>
    <row r="95" spans="1:11">
      <c r="A95" s="26" t="s">
        <v>3</v>
      </c>
      <c r="B95" s="28" t="s">
        <v>8</v>
      </c>
      <c r="C95" s="28" t="s">
        <v>7</v>
      </c>
      <c r="D95" s="28" t="s">
        <v>6</v>
      </c>
      <c r="E95" s="28" t="s">
        <v>10</v>
      </c>
      <c r="F95" s="28" t="s">
        <v>13</v>
      </c>
      <c r="G95" s="28" t="s">
        <v>15</v>
      </c>
      <c r="I95" s="57" t="s">
        <v>63</v>
      </c>
      <c r="J95" s="15">
        <f>G91+G96+G101</f>
        <v>16</v>
      </c>
    </row>
    <row r="96" spans="1:11">
      <c r="A96" s="26" t="s">
        <v>4</v>
      </c>
      <c r="B96" s="29">
        <v>193200</v>
      </c>
      <c r="C96" s="29">
        <v>62300</v>
      </c>
      <c r="D96" s="29"/>
      <c r="E96" s="29">
        <f>B96+C96+D96</f>
        <v>255500</v>
      </c>
      <c r="F96" s="30" t="s">
        <v>14</v>
      </c>
      <c r="G96" s="125">
        <v>6</v>
      </c>
      <c r="I96" s="54" t="s">
        <v>61</v>
      </c>
      <c r="J96" s="55">
        <f>(G91*100/(G91+G96+G101))^2+(G96*100/(G91+G96+G101))^2+(G101*100/(G91+G96+G101))^2</f>
        <v>4062.5</v>
      </c>
    </row>
    <row r="97" spans="1:11">
      <c r="A97" s="26" t="s">
        <v>5</v>
      </c>
      <c r="B97" s="29">
        <v>193200</v>
      </c>
      <c r="C97" s="29">
        <v>62300</v>
      </c>
      <c r="D97" s="29"/>
      <c r="E97" s="29">
        <f>B97+C97+D97</f>
        <v>255500</v>
      </c>
      <c r="F97" s="30" t="s">
        <v>14</v>
      </c>
      <c r="G97" s="125"/>
      <c r="J97" s="36"/>
    </row>
    <row r="98" spans="1:11">
      <c r="A98" s="23"/>
      <c r="B98" s="23"/>
      <c r="C98" s="23"/>
      <c r="D98" s="23"/>
      <c r="E98" s="23"/>
      <c r="F98" s="23"/>
      <c r="G98" s="23"/>
      <c r="J98" s="96"/>
    </row>
    <row r="99" spans="1:11">
      <c r="A99" s="26" t="s">
        <v>1</v>
      </c>
      <c r="B99" s="76" t="s">
        <v>44</v>
      </c>
      <c r="C99" s="23"/>
      <c r="D99" s="23"/>
      <c r="E99" s="23"/>
      <c r="F99" s="23"/>
      <c r="G99" s="23"/>
      <c r="J99" s="97"/>
    </row>
    <row r="100" spans="1:11">
      <c r="A100" s="26" t="s">
        <v>3</v>
      </c>
      <c r="B100" s="28" t="s">
        <v>8</v>
      </c>
      <c r="C100" s="28" t="s">
        <v>7</v>
      </c>
      <c r="D100" s="28" t="s">
        <v>6</v>
      </c>
      <c r="E100" s="28" t="s">
        <v>10</v>
      </c>
      <c r="F100" s="28" t="s">
        <v>13</v>
      </c>
      <c r="G100" s="28" t="s">
        <v>15</v>
      </c>
      <c r="J100" s="96"/>
    </row>
    <row r="101" spans="1:11">
      <c r="A101" s="26" t="s">
        <v>4</v>
      </c>
      <c r="B101" s="29">
        <v>193200</v>
      </c>
      <c r="C101" s="29">
        <v>62300</v>
      </c>
      <c r="D101" s="29"/>
      <c r="E101" s="29">
        <f>B101+C101+D101</f>
        <v>255500</v>
      </c>
      <c r="F101" s="30" t="s">
        <v>14</v>
      </c>
      <c r="G101" s="125">
        <v>8</v>
      </c>
      <c r="J101" s="97"/>
    </row>
    <row r="102" spans="1:11">
      <c r="A102" s="26" t="s">
        <v>5</v>
      </c>
      <c r="B102" s="29">
        <v>193200</v>
      </c>
      <c r="C102" s="29">
        <v>62300</v>
      </c>
      <c r="D102" s="29"/>
      <c r="E102" s="29">
        <f>B102+C102+D102</f>
        <v>255500</v>
      </c>
      <c r="F102" s="30" t="s">
        <v>14</v>
      </c>
      <c r="G102" s="125"/>
      <c r="J102" s="36"/>
    </row>
    <row r="103" spans="1:11">
      <c r="A103" s="23"/>
      <c r="B103" s="23"/>
      <c r="C103" s="23"/>
      <c r="D103" s="23"/>
      <c r="E103" s="23"/>
      <c r="F103" s="23"/>
      <c r="G103" s="23"/>
      <c r="J103" s="36"/>
    </row>
    <row r="104" spans="1:11">
      <c r="A104" s="23"/>
      <c r="B104" s="31" t="s">
        <v>8</v>
      </c>
      <c r="C104" s="31" t="s">
        <v>7</v>
      </c>
      <c r="D104" s="31" t="s">
        <v>6</v>
      </c>
      <c r="E104" s="31" t="s">
        <v>10</v>
      </c>
    </row>
    <row r="105" spans="1:11">
      <c r="A105" s="26" t="s">
        <v>19</v>
      </c>
      <c r="B105" s="29">
        <f>(((B91+B92)/2*$G$91+(B96+B97)/2*$G$96+(B101+B102)/2*$G$101)/($G$91+$G$96+$G$101))/$B$85</f>
        <v>372.9668674698795</v>
      </c>
      <c r="C105" s="29">
        <f t="shared" ref="C105:D105" si="2">(((C91+C92)/2*$G$91+(C96+C97)/2*$G$96+(C101+C102)/2*$G$101)/($G$91+$G$96+$G$101))/$B$85</f>
        <v>99.981174698795186</v>
      </c>
      <c r="D105" s="29">
        <f t="shared" si="2"/>
        <v>0</v>
      </c>
      <c r="E105" s="29">
        <f>B105+C105+D105</f>
        <v>472.9480421686747</v>
      </c>
      <c r="K105" s="98"/>
    </row>
    <row r="109" spans="1:11">
      <c r="A109" s="23" t="s">
        <v>9</v>
      </c>
      <c r="B109" s="23" t="s">
        <v>51</v>
      </c>
      <c r="C109" s="23"/>
      <c r="D109" s="23"/>
      <c r="E109" s="23"/>
      <c r="F109" s="23"/>
      <c r="G109" s="23"/>
    </row>
    <row r="110" spans="1:11">
      <c r="A110" s="23" t="s">
        <v>18</v>
      </c>
      <c r="B110" s="23">
        <v>3973.63</v>
      </c>
      <c r="C110" s="23"/>
      <c r="D110" s="23"/>
      <c r="E110" s="23"/>
      <c r="F110" s="23"/>
      <c r="G110" s="23"/>
    </row>
    <row r="111" spans="1:11">
      <c r="A111" s="23" t="s">
        <v>11</v>
      </c>
      <c r="B111" s="25">
        <v>43365</v>
      </c>
      <c r="C111" s="23"/>
      <c r="D111" s="23"/>
      <c r="E111" s="23"/>
      <c r="F111" s="23"/>
      <c r="G111" s="23"/>
    </row>
    <row r="112" spans="1:11">
      <c r="A112" s="23" t="s">
        <v>12</v>
      </c>
      <c r="B112" s="25">
        <v>43369</v>
      </c>
      <c r="C112" s="23"/>
      <c r="D112" s="23"/>
      <c r="E112" s="23"/>
      <c r="F112" s="23"/>
      <c r="G112" s="23"/>
    </row>
    <row r="113" spans="1:11">
      <c r="A113" s="23"/>
      <c r="B113" s="25"/>
      <c r="C113" s="23"/>
      <c r="D113" s="23"/>
      <c r="E113" s="23"/>
      <c r="F113" s="23"/>
      <c r="G113" s="23"/>
    </row>
    <row r="114" spans="1:11">
      <c r="A114" s="26" t="s">
        <v>1</v>
      </c>
      <c r="B114" s="76" t="s">
        <v>42</v>
      </c>
      <c r="C114" s="23"/>
      <c r="D114" s="23"/>
      <c r="E114" s="23"/>
      <c r="F114" s="23"/>
      <c r="G114" s="23"/>
    </row>
    <row r="115" spans="1:11" ht="15.75">
      <c r="A115" s="26" t="s">
        <v>3</v>
      </c>
      <c r="B115" s="28" t="s">
        <v>8</v>
      </c>
      <c r="C115" s="28" t="s">
        <v>7</v>
      </c>
      <c r="D115" s="28" t="s">
        <v>6</v>
      </c>
      <c r="E115" s="28" t="s">
        <v>10</v>
      </c>
      <c r="F115" s="28" t="s">
        <v>13</v>
      </c>
      <c r="G115" s="28" t="s">
        <v>15</v>
      </c>
      <c r="J115" s="35"/>
    </row>
    <row r="116" spans="1:11">
      <c r="A116" s="26" t="s">
        <v>4</v>
      </c>
      <c r="B116" s="29">
        <v>415500</v>
      </c>
      <c r="C116" s="29">
        <v>79000</v>
      </c>
      <c r="D116" s="29"/>
      <c r="E116" s="29">
        <f>B116+C116+D116</f>
        <v>494500</v>
      </c>
      <c r="F116" s="30" t="s">
        <v>14</v>
      </c>
      <c r="G116" s="125">
        <v>13</v>
      </c>
      <c r="J116" s="36"/>
      <c r="K116" s="37"/>
    </row>
    <row r="117" spans="1:11">
      <c r="A117" s="26" t="s">
        <v>5</v>
      </c>
      <c r="B117" s="29">
        <v>708100</v>
      </c>
      <c r="C117" s="29">
        <v>101000</v>
      </c>
      <c r="D117" s="29"/>
      <c r="E117" s="29">
        <f>B117+C117+D117</f>
        <v>809100</v>
      </c>
      <c r="F117" s="30" t="s">
        <v>14</v>
      </c>
      <c r="G117" s="125"/>
      <c r="J117" s="36"/>
      <c r="K117" s="93"/>
    </row>
    <row r="118" spans="1:11" ht="18">
      <c r="A118" s="23"/>
      <c r="B118" s="23"/>
      <c r="C118" s="23"/>
      <c r="D118" s="23"/>
      <c r="E118" s="23"/>
      <c r="F118" s="23"/>
      <c r="G118" s="23"/>
      <c r="J118" s="36"/>
      <c r="K118" s="94"/>
    </row>
    <row r="119" spans="1:11">
      <c r="A119" s="26" t="s">
        <v>1</v>
      </c>
      <c r="B119" s="76" t="s">
        <v>47</v>
      </c>
      <c r="C119" s="23"/>
      <c r="D119" s="23"/>
      <c r="E119" s="23"/>
      <c r="F119" s="23"/>
      <c r="G119" s="23"/>
      <c r="K119" s="95"/>
    </row>
    <row r="120" spans="1:11">
      <c r="A120" s="26" t="s">
        <v>3</v>
      </c>
      <c r="B120" s="28" t="s">
        <v>8</v>
      </c>
      <c r="C120" s="28" t="s">
        <v>7</v>
      </c>
      <c r="D120" s="28" t="s">
        <v>6</v>
      </c>
      <c r="E120" s="28" t="s">
        <v>10</v>
      </c>
      <c r="F120" s="28" t="s">
        <v>13</v>
      </c>
      <c r="G120" s="28" t="s">
        <v>15</v>
      </c>
      <c r="I120" s="57" t="s">
        <v>63</v>
      </c>
      <c r="J120" s="15">
        <f>G116+G121+G126+G131+G136</f>
        <v>56</v>
      </c>
      <c r="K120" s="36"/>
    </row>
    <row r="121" spans="1:11">
      <c r="A121" s="26" t="s">
        <v>4</v>
      </c>
      <c r="B121" s="29">
        <v>415500</v>
      </c>
      <c r="C121" s="29">
        <v>79000</v>
      </c>
      <c r="D121" s="29"/>
      <c r="E121" s="29">
        <f>B121+C121+D121</f>
        <v>494500</v>
      </c>
      <c r="F121" s="30" t="s">
        <v>14</v>
      </c>
      <c r="G121" s="125">
        <v>10</v>
      </c>
      <c r="I121" s="54" t="s">
        <v>61</v>
      </c>
      <c r="J121" s="55">
        <f>(G116*100/(G116+G121+G126+G131+G136))^2+(G121*100/(G116+G121+G126+G131+G136))^2+(G126*100/(G116+G121+G126+G131+G136))^2+(G131*100/(G116+G121+G126+G131+G136))^2+(G136*100/(G116+G121+G126+G131+G136))^2</f>
        <v>2059.9489795918371</v>
      </c>
      <c r="K121" s="96"/>
    </row>
    <row r="122" spans="1:11">
      <c r="A122" s="26" t="s">
        <v>5</v>
      </c>
      <c r="B122" s="29">
        <v>626200</v>
      </c>
      <c r="C122" s="29">
        <v>94800</v>
      </c>
      <c r="D122" s="29"/>
      <c r="E122" s="29">
        <f>B122+C122+D122</f>
        <v>721000</v>
      </c>
      <c r="F122" s="30" t="s">
        <v>14</v>
      </c>
      <c r="G122" s="125"/>
      <c r="J122" s="36"/>
      <c r="K122" s="97"/>
    </row>
    <row r="123" spans="1:11">
      <c r="A123" s="23"/>
      <c r="B123" s="23"/>
      <c r="C123" s="23"/>
      <c r="D123" s="23"/>
      <c r="E123" s="23"/>
      <c r="F123" s="23"/>
      <c r="G123" s="23"/>
      <c r="I123" s="37"/>
      <c r="J123" s="37"/>
    </row>
    <row r="124" spans="1:11">
      <c r="A124" s="26" t="s">
        <v>1</v>
      </c>
      <c r="B124" s="76" t="s">
        <v>49</v>
      </c>
      <c r="C124" s="23"/>
      <c r="D124" s="23"/>
      <c r="E124" s="23"/>
      <c r="F124" s="23"/>
      <c r="G124" s="23"/>
      <c r="I124" s="93"/>
      <c r="J124" s="37"/>
    </row>
    <row r="125" spans="1:11" ht="18">
      <c r="A125" s="26" t="s">
        <v>3</v>
      </c>
      <c r="B125" s="28" t="s">
        <v>8</v>
      </c>
      <c r="C125" s="28" t="s">
        <v>7</v>
      </c>
      <c r="D125" s="28" t="s">
        <v>6</v>
      </c>
      <c r="E125" s="28" t="s">
        <v>10</v>
      </c>
      <c r="F125" s="28" t="s">
        <v>13</v>
      </c>
      <c r="G125" s="28" t="s">
        <v>15</v>
      </c>
      <c r="I125" s="94"/>
      <c r="J125" s="93"/>
    </row>
    <row r="126" spans="1:11" ht="18">
      <c r="A126" s="26" t="s">
        <v>4</v>
      </c>
      <c r="B126" s="29">
        <v>415500</v>
      </c>
      <c r="C126" s="29">
        <v>79000</v>
      </c>
      <c r="D126" s="29"/>
      <c r="E126" s="29">
        <f>B126+C126+D126</f>
        <v>494500</v>
      </c>
      <c r="F126" s="30" t="s">
        <v>14</v>
      </c>
      <c r="G126" s="125">
        <v>9</v>
      </c>
      <c r="I126" s="95"/>
      <c r="J126" s="94"/>
      <c r="K126" s="49"/>
    </row>
    <row r="127" spans="1:11">
      <c r="A127" s="26" t="s">
        <v>5</v>
      </c>
      <c r="B127" s="29">
        <v>708100</v>
      </c>
      <c r="C127" s="29">
        <v>100900</v>
      </c>
      <c r="D127" s="29"/>
      <c r="E127" s="29">
        <f>B127+C127+D127</f>
        <v>809000</v>
      </c>
      <c r="F127" s="30" t="s">
        <v>14</v>
      </c>
      <c r="G127" s="125"/>
      <c r="I127" s="36"/>
      <c r="J127" s="95"/>
    </row>
    <row r="128" spans="1:11">
      <c r="A128" s="23"/>
      <c r="B128" s="23"/>
      <c r="C128" s="23"/>
      <c r="D128" s="23"/>
      <c r="E128" s="23"/>
      <c r="F128" s="23"/>
      <c r="G128" s="23"/>
      <c r="I128" s="96"/>
      <c r="J128" s="36"/>
    </row>
    <row r="129" spans="1:10">
      <c r="A129" s="26" t="s">
        <v>1</v>
      </c>
      <c r="B129" s="76" t="s">
        <v>43</v>
      </c>
      <c r="C129" s="23"/>
      <c r="D129" s="23"/>
      <c r="E129" s="23"/>
      <c r="F129" s="23"/>
      <c r="G129" s="23"/>
      <c r="I129" s="97"/>
      <c r="J129" s="96"/>
    </row>
    <row r="130" spans="1:10">
      <c r="A130" s="26" t="s">
        <v>3</v>
      </c>
      <c r="B130" s="28" t="s">
        <v>8</v>
      </c>
      <c r="C130" s="28" t="s">
        <v>7</v>
      </c>
      <c r="D130" s="28" t="s">
        <v>6</v>
      </c>
      <c r="E130" s="28" t="s">
        <v>10</v>
      </c>
      <c r="F130" s="28" t="s">
        <v>13</v>
      </c>
      <c r="G130" s="28" t="s">
        <v>15</v>
      </c>
      <c r="J130" s="97"/>
    </row>
    <row r="131" spans="1:10">
      <c r="A131" s="26" t="s">
        <v>4</v>
      </c>
      <c r="B131" s="29">
        <v>415500</v>
      </c>
      <c r="C131" s="29">
        <v>79000</v>
      </c>
      <c r="D131" s="29"/>
      <c r="E131" s="29">
        <f>B131+C131+D131</f>
        <v>494500</v>
      </c>
      <c r="F131" s="30" t="s">
        <v>14</v>
      </c>
      <c r="G131" s="125">
        <v>10</v>
      </c>
      <c r="J131" s="36"/>
    </row>
    <row r="132" spans="1:10">
      <c r="A132" s="26" t="s">
        <v>5</v>
      </c>
      <c r="B132" s="29">
        <v>415500</v>
      </c>
      <c r="C132" s="29">
        <v>79000</v>
      </c>
      <c r="D132" s="29"/>
      <c r="E132" s="29">
        <f>B132+C132+D132</f>
        <v>494500</v>
      </c>
      <c r="F132" s="30" t="s">
        <v>14</v>
      </c>
      <c r="G132" s="125"/>
      <c r="J132" s="36"/>
    </row>
    <row r="133" spans="1:10">
      <c r="A133" s="38"/>
      <c r="B133" s="41"/>
      <c r="C133" s="41"/>
      <c r="D133" s="41"/>
      <c r="E133" s="41"/>
      <c r="F133" s="39"/>
      <c r="G133" s="40"/>
      <c r="J133" s="36"/>
    </row>
    <row r="134" spans="1:10">
      <c r="A134" s="26" t="s">
        <v>1</v>
      </c>
      <c r="B134" s="76" t="s">
        <v>44</v>
      </c>
      <c r="C134" s="23"/>
      <c r="D134" s="23"/>
      <c r="E134" s="23"/>
      <c r="F134" s="23"/>
      <c r="G134" s="23"/>
      <c r="J134" s="36"/>
    </row>
    <row r="135" spans="1:10" ht="15.75">
      <c r="A135" s="26" t="s">
        <v>3</v>
      </c>
      <c r="B135" s="28" t="s">
        <v>8</v>
      </c>
      <c r="C135" s="28" t="s">
        <v>7</v>
      </c>
      <c r="D135" s="28" t="s">
        <v>6</v>
      </c>
      <c r="E135" s="28" t="s">
        <v>10</v>
      </c>
      <c r="F135" s="28" t="s">
        <v>13</v>
      </c>
      <c r="G135" s="28" t="s">
        <v>15</v>
      </c>
      <c r="I135" s="35"/>
      <c r="J135" s="35"/>
    </row>
    <row r="136" spans="1:10">
      <c r="A136" s="26" t="s">
        <v>4</v>
      </c>
      <c r="B136" s="29">
        <v>415500</v>
      </c>
      <c r="C136" s="29">
        <v>79000</v>
      </c>
      <c r="D136" s="29"/>
      <c r="E136" s="29">
        <f>B136+C136+D136</f>
        <v>494500</v>
      </c>
      <c r="F136" s="30" t="s">
        <v>14</v>
      </c>
      <c r="G136" s="125">
        <v>14</v>
      </c>
      <c r="I136" s="36"/>
      <c r="J136" s="36"/>
    </row>
    <row r="137" spans="1:10">
      <c r="A137" s="26" t="s">
        <v>5</v>
      </c>
      <c r="B137" s="29">
        <v>1164600</v>
      </c>
      <c r="C137" s="29">
        <v>135200</v>
      </c>
      <c r="D137" s="29"/>
      <c r="E137" s="29">
        <f>B137+C137+D137</f>
        <v>1299800</v>
      </c>
      <c r="F137" s="30" t="s">
        <v>14</v>
      </c>
      <c r="G137" s="125"/>
      <c r="I137" s="36"/>
      <c r="J137" s="36"/>
    </row>
    <row r="138" spans="1:10">
      <c r="A138" s="23"/>
      <c r="B138" s="23"/>
      <c r="C138" s="23"/>
      <c r="D138" s="23"/>
      <c r="E138" s="23"/>
      <c r="F138" s="23"/>
      <c r="G138" s="23"/>
      <c r="I138" s="36"/>
      <c r="J138" s="36"/>
    </row>
    <row r="139" spans="1:10">
      <c r="A139" s="23"/>
      <c r="B139" s="31" t="s">
        <v>8</v>
      </c>
      <c r="C139" s="31" t="s">
        <v>7</v>
      </c>
      <c r="D139" s="31" t="s">
        <v>6</v>
      </c>
      <c r="E139" s="31" t="s">
        <v>10</v>
      </c>
    </row>
    <row r="140" spans="1:10">
      <c r="A140" s="26" t="s">
        <v>19</v>
      </c>
      <c r="B140" s="29">
        <f>(((B116+B117)/2*$G$116+(B121+B122)/2*$G$121+(B126+B127)/2*$G$126+(B131+B132)/2*$G$131+(B136+B137)/2*$G$136)/($G$116+$G$121+$G$126+$G$131+$G$136))/$B$110</f>
        <v>147.32750658717595</v>
      </c>
      <c r="C140" s="29">
        <f t="shared" ref="C140:D140" si="3">(((C116+C117)/2*$G$116+(C121+C122)/2*$G$121+(C126+C127)/2*$G$126+(C131+C132)/2*$G$131+(C136+C137)/2*$G$136)/($G$116+$G$121+$G$126+$G$131+$G$136))/$B$110</f>
        <v>23.089494276733653</v>
      </c>
      <c r="D140" s="29">
        <f t="shared" si="3"/>
        <v>0</v>
      </c>
      <c r="E140" s="29">
        <f>B140+C140+D140</f>
        <v>170.41700086390961</v>
      </c>
    </row>
    <row r="144" spans="1:10">
      <c r="A144" s="23" t="s">
        <v>9</v>
      </c>
      <c r="B144" s="23" t="s">
        <v>52</v>
      </c>
      <c r="C144" s="23"/>
      <c r="D144" s="23"/>
      <c r="E144" s="23"/>
      <c r="F144" s="23"/>
      <c r="G144" s="23"/>
    </row>
    <row r="145" spans="1:11">
      <c r="A145" s="23" t="s">
        <v>18</v>
      </c>
      <c r="B145" s="23">
        <v>1187.25</v>
      </c>
      <c r="C145" s="23"/>
      <c r="D145" s="23"/>
      <c r="E145" s="23"/>
      <c r="F145" s="23"/>
      <c r="G145" s="23"/>
    </row>
    <row r="146" spans="1:11">
      <c r="A146" s="23" t="s">
        <v>11</v>
      </c>
      <c r="B146" s="25">
        <v>43365</v>
      </c>
      <c r="C146" s="23"/>
      <c r="D146" s="23"/>
      <c r="E146" s="23"/>
      <c r="F146" s="23"/>
      <c r="G146" s="23"/>
    </row>
    <row r="147" spans="1:11">
      <c r="A147" s="23" t="s">
        <v>12</v>
      </c>
      <c r="B147" s="25">
        <v>43369</v>
      </c>
      <c r="C147" s="23"/>
      <c r="D147" s="23"/>
      <c r="E147" s="23"/>
      <c r="F147" s="23"/>
      <c r="G147" s="23"/>
    </row>
    <row r="148" spans="1:11">
      <c r="A148" s="23"/>
      <c r="B148" s="25"/>
      <c r="C148" s="23"/>
      <c r="D148" s="23"/>
      <c r="E148" s="23"/>
      <c r="F148" s="23"/>
      <c r="G148" s="23"/>
    </row>
    <row r="149" spans="1:11">
      <c r="A149" s="26" t="s">
        <v>1</v>
      </c>
      <c r="B149" s="76" t="s">
        <v>47</v>
      </c>
      <c r="C149" s="23"/>
      <c r="D149" s="23"/>
      <c r="E149" s="23"/>
      <c r="F149" s="23"/>
      <c r="G149" s="23"/>
    </row>
    <row r="150" spans="1:11" ht="15.75">
      <c r="A150" s="26" t="s">
        <v>3</v>
      </c>
      <c r="B150" s="28" t="s">
        <v>8</v>
      </c>
      <c r="C150" s="28" t="s">
        <v>7</v>
      </c>
      <c r="D150" s="28" t="s">
        <v>6</v>
      </c>
      <c r="E150" s="28" t="s">
        <v>10</v>
      </c>
      <c r="F150" s="28" t="s">
        <v>13</v>
      </c>
      <c r="G150" s="28" t="s">
        <v>15</v>
      </c>
      <c r="J150" s="35"/>
    </row>
    <row r="151" spans="1:11">
      <c r="A151" s="26" t="s">
        <v>4</v>
      </c>
      <c r="B151" s="29">
        <v>237100</v>
      </c>
      <c r="C151" s="29">
        <v>65600</v>
      </c>
      <c r="D151" s="29"/>
      <c r="E151" s="29">
        <f>B151+C151+D151</f>
        <v>302700</v>
      </c>
      <c r="F151" s="30" t="s">
        <v>14</v>
      </c>
      <c r="G151" s="125">
        <v>2</v>
      </c>
      <c r="J151" s="36"/>
      <c r="K151" s="37"/>
    </row>
    <row r="152" spans="1:11">
      <c r="A152" s="26" t="s">
        <v>5</v>
      </c>
      <c r="B152" s="29">
        <v>406700</v>
      </c>
      <c r="C152" s="29">
        <v>78300</v>
      </c>
      <c r="D152" s="29"/>
      <c r="E152" s="29">
        <f>B152+C152+D152</f>
        <v>485000</v>
      </c>
      <c r="F152" s="30" t="s">
        <v>14</v>
      </c>
      <c r="G152" s="125"/>
      <c r="J152" s="36"/>
      <c r="K152" s="93"/>
    </row>
    <row r="153" spans="1:11" ht="18">
      <c r="A153" s="23"/>
      <c r="B153" s="23"/>
      <c r="C153" s="23"/>
      <c r="D153" s="23"/>
      <c r="E153" s="23"/>
      <c r="F153" s="23"/>
      <c r="G153" s="23"/>
      <c r="J153" s="36"/>
      <c r="K153" s="94"/>
    </row>
    <row r="154" spans="1:11">
      <c r="A154" s="26" t="s">
        <v>1</v>
      </c>
      <c r="B154" s="76" t="s">
        <v>42</v>
      </c>
      <c r="C154" s="23"/>
      <c r="D154" s="23"/>
      <c r="E154" s="23"/>
      <c r="F154" s="23"/>
      <c r="G154" s="23"/>
      <c r="K154" s="95"/>
    </row>
    <row r="155" spans="1:11">
      <c r="A155" s="26" t="s">
        <v>3</v>
      </c>
      <c r="B155" s="28" t="s">
        <v>8</v>
      </c>
      <c r="C155" s="28" t="s">
        <v>7</v>
      </c>
      <c r="D155" s="28" t="s">
        <v>6</v>
      </c>
      <c r="E155" s="28" t="s">
        <v>10</v>
      </c>
      <c r="F155" s="28" t="s">
        <v>13</v>
      </c>
      <c r="G155" s="28" t="s">
        <v>15</v>
      </c>
      <c r="I155" s="57" t="s">
        <v>63</v>
      </c>
      <c r="J155" s="15">
        <f>G151+G156+G161+G166</f>
        <v>68</v>
      </c>
      <c r="K155" s="36"/>
    </row>
    <row r="156" spans="1:11">
      <c r="A156" s="26" t="s">
        <v>4</v>
      </c>
      <c r="B156" s="29">
        <v>251700</v>
      </c>
      <c r="C156" s="29">
        <v>66700</v>
      </c>
      <c r="D156" s="29"/>
      <c r="E156" s="29">
        <f>B156+C156+D156</f>
        <v>318400</v>
      </c>
      <c r="F156" s="30" t="s">
        <v>14</v>
      </c>
      <c r="G156" s="125">
        <v>21</v>
      </c>
      <c r="I156" s="54" t="s">
        <v>61</v>
      </c>
      <c r="J156" s="55">
        <f>(G151*100/(G151+G156+G161+G166))^2+(G156*100/(G151+G156+G161+G166))^2+(G161*100/(G151+G156+G161+G166))^2+(G166*100/(G151+G156+G161+G166))^2</f>
        <v>3239.6193771626295</v>
      </c>
      <c r="K156" s="96"/>
    </row>
    <row r="157" spans="1:11">
      <c r="A157" s="26" t="s">
        <v>5</v>
      </c>
      <c r="B157" s="29">
        <v>324800</v>
      </c>
      <c r="C157" s="29">
        <v>72200</v>
      </c>
      <c r="D157" s="29"/>
      <c r="E157" s="29">
        <f>B157+C157+D157</f>
        <v>397000</v>
      </c>
      <c r="F157" s="30" t="s">
        <v>14</v>
      </c>
      <c r="G157" s="125"/>
      <c r="J157" s="36"/>
      <c r="K157" s="97"/>
    </row>
    <row r="158" spans="1:11">
      <c r="A158" s="23"/>
      <c r="B158" s="23"/>
      <c r="C158" s="23"/>
      <c r="D158" s="23"/>
      <c r="E158" s="23"/>
      <c r="F158" s="23"/>
      <c r="G158" s="23"/>
      <c r="I158" s="37"/>
      <c r="J158" s="37"/>
    </row>
    <row r="159" spans="1:11">
      <c r="A159" s="26" t="s">
        <v>1</v>
      </c>
      <c r="B159" s="76" t="s">
        <v>43</v>
      </c>
      <c r="C159" s="23"/>
      <c r="D159" s="23"/>
      <c r="E159" s="23"/>
      <c r="F159" s="23"/>
      <c r="G159" s="23"/>
      <c r="I159" s="93"/>
      <c r="J159" s="93"/>
    </row>
    <row r="160" spans="1:11" ht="18">
      <c r="A160" s="26" t="s">
        <v>3</v>
      </c>
      <c r="B160" s="28" t="s">
        <v>8</v>
      </c>
      <c r="C160" s="28" t="s">
        <v>7</v>
      </c>
      <c r="D160" s="28" t="s">
        <v>6</v>
      </c>
      <c r="E160" s="28" t="s">
        <v>10</v>
      </c>
      <c r="F160" s="28" t="s">
        <v>13</v>
      </c>
      <c r="G160" s="28" t="s">
        <v>15</v>
      </c>
      <c r="I160" s="94"/>
      <c r="J160" s="94"/>
    </row>
    <row r="161" spans="1:10">
      <c r="A161" s="26" t="s">
        <v>4</v>
      </c>
      <c r="B161" s="29">
        <v>163900</v>
      </c>
      <c r="C161" s="29">
        <v>60100</v>
      </c>
      <c r="D161" s="29"/>
      <c r="E161" s="29">
        <f>B161+C161+D161</f>
        <v>224000</v>
      </c>
      <c r="F161" s="30" t="s">
        <v>14</v>
      </c>
      <c r="G161" s="125">
        <v>18</v>
      </c>
      <c r="I161" s="95"/>
      <c r="J161" s="95"/>
    </row>
    <row r="162" spans="1:10">
      <c r="A162" s="26" t="s">
        <v>5</v>
      </c>
      <c r="B162" s="29">
        <v>2879200</v>
      </c>
      <c r="C162" s="29">
        <v>263800</v>
      </c>
      <c r="D162" s="29"/>
      <c r="E162" s="29">
        <f>B162+C162+D162</f>
        <v>3143000</v>
      </c>
      <c r="F162" s="30" t="s">
        <v>14</v>
      </c>
      <c r="G162" s="125"/>
      <c r="I162" s="36"/>
      <c r="J162" s="36"/>
    </row>
    <row r="163" spans="1:10">
      <c r="A163" s="23"/>
      <c r="B163" s="23"/>
      <c r="C163" s="23"/>
      <c r="D163" s="23"/>
      <c r="E163" s="23"/>
      <c r="F163" s="23"/>
      <c r="G163" s="23"/>
      <c r="I163" s="96"/>
      <c r="J163" s="96"/>
    </row>
    <row r="164" spans="1:10">
      <c r="A164" s="26" t="s">
        <v>1</v>
      </c>
      <c r="B164" s="76" t="s">
        <v>44</v>
      </c>
      <c r="C164" s="23"/>
      <c r="D164" s="23"/>
      <c r="E164" s="23"/>
      <c r="F164" s="23"/>
      <c r="G164" s="23"/>
      <c r="I164" s="97"/>
      <c r="J164" s="97"/>
    </row>
    <row r="165" spans="1:10">
      <c r="A165" s="26" t="s">
        <v>3</v>
      </c>
      <c r="B165" s="28" t="s">
        <v>8</v>
      </c>
      <c r="C165" s="28" t="s">
        <v>7</v>
      </c>
      <c r="D165" s="28" t="s">
        <v>6</v>
      </c>
      <c r="E165" s="28" t="s">
        <v>10</v>
      </c>
      <c r="F165" s="28" t="s">
        <v>13</v>
      </c>
      <c r="G165" s="28" t="s">
        <v>15</v>
      </c>
      <c r="I165" s="96"/>
      <c r="J165" s="37"/>
    </row>
    <row r="166" spans="1:10">
      <c r="A166" s="26" t="s">
        <v>4</v>
      </c>
      <c r="B166" s="29">
        <v>251700</v>
      </c>
      <c r="C166" s="29">
        <v>66700</v>
      </c>
      <c r="D166" s="29"/>
      <c r="E166" s="29">
        <f>B166+C166+D166</f>
        <v>318400</v>
      </c>
      <c r="F166" s="30" t="s">
        <v>14</v>
      </c>
      <c r="G166" s="125">
        <v>27</v>
      </c>
      <c r="I166" s="97"/>
      <c r="J166" s="36"/>
    </row>
    <row r="167" spans="1:10">
      <c r="A167" s="26" t="s">
        <v>5</v>
      </c>
      <c r="B167" s="29">
        <v>851500</v>
      </c>
      <c r="C167" s="29">
        <v>111700</v>
      </c>
      <c r="D167" s="29"/>
      <c r="E167" s="29">
        <f>B167+C167+D167</f>
        <v>963200</v>
      </c>
      <c r="F167" s="30" t="s">
        <v>14</v>
      </c>
      <c r="G167" s="125"/>
      <c r="J167" s="36"/>
    </row>
    <row r="168" spans="1:10">
      <c r="A168" s="23"/>
      <c r="B168" s="23"/>
      <c r="C168" s="23"/>
      <c r="D168" s="23"/>
      <c r="E168" s="23"/>
      <c r="F168" s="23"/>
      <c r="G168" s="23"/>
      <c r="J168" s="36"/>
    </row>
    <row r="169" spans="1:10">
      <c r="A169" s="23"/>
      <c r="B169" s="31" t="s">
        <v>8</v>
      </c>
      <c r="C169" s="31" t="s">
        <v>7</v>
      </c>
      <c r="D169" s="31" t="s">
        <v>6</v>
      </c>
      <c r="E169" s="31" t="s">
        <v>10</v>
      </c>
    </row>
    <row r="170" spans="1:10">
      <c r="A170" s="26" t="s">
        <v>19</v>
      </c>
      <c r="B170" s="29">
        <f>(((B151+B152)/2*$G$151+(B156+B157)/2*$G$156+(B161+B162)/2*$G$161+(B166+B167)/2*$G$166)/($G$151+$G$156+$G$161+$G$166))/$B$145</f>
        <v>606.66827691278661</v>
      </c>
      <c r="C170" s="29">
        <f t="shared" ref="C170:D170" si="4">(((C151+C152)/2*$G$151+(C156+C157)/2*$G$156+(C161+C162)/2*$G$161+(C166+C167)/2*$G$166)/($G$151+$G$156+$G$161+$G$166))/$B$145</f>
        <v>85.787100689928536</v>
      </c>
      <c r="D170" s="29">
        <f t="shared" si="4"/>
        <v>0</v>
      </c>
      <c r="E170" s="29">
        <f>B170+C170+D170</f>
        <v>692.45537760271509</v>
      </c>
    </row>
    <row r="173" spans="1:10" s="42" customFormat="1" ht="30">
      <c r="A173" s="77" t="s">
        <v>82</v>
      </c>
      <c r="B173" s="67" t="s">
        <v>78</v>
      </c>
      <c r="C173" s="67" t="s">
        <v>80</v>
      </c>
      <c r="D173" s="44" t="s">
        <v>81</v>
      </c>
      <c r="E173" s="67" t="s">
        <v>79</v>
      </c>
    </row>
    <row r="174" spans="1:10">
      <c r="A174" s="56">
        <f>(J16*J15+J41*J40+J66*J65+J96*J95+J121*J120+J156*J155)/(J15+J40+J65+J95+J120+J155)</f>
        <v>3407.5424367038886</v>
      </c>
      <c r="B174" s="62">
        <f>(B25*$J$15+B50*$J$40+B80*$J$65+B105*$J$95+B140*$J$120+B170*$J$155)/($J$15+$J$40+$J$65+$J$95+$J$120+$J$155)</f>
        <v>440.82357112356578</v>
      </c>
      <c r="C174" s="62">
        <f>(C25*$J$15+C50*$J$40+C80*$J$65+C105*$J$95+C140*$J$120+C170*$J$155)/($J$15+$J$40+$J$65+$J$95+$J$120+$J$155)</f>
        <v>86.34926924116121</v>
      </c>
      <c r="D174" s="62">
        <f>(D25*$J$15+D50*$J$40+D80*$J$65+D105*$J$95+D140*$J$120+D170*$J$155)/($J$15+$J$40+$J$65+$J$95+$J$120+$J$155)</f>
        <v>0</v>
      </c>
      <c r="E174" s="62">
        <f>B174+C174+D174</f>
        <v>527.17284036472699</v>
      </c>
    </row>
    <row r="176" spans="1:10">
      <c r="A176" s="44" t="s">
        <v>83</v>
      </c>
      <c r="B176" s="100">
        <f>C174/E174</f>
        <v>0.16379688525194139</v>
      </c>
    </row>
  </sheetData>
  <mergeCells count="22">
    <mergeCell ref="G96:G97"/>
    <mergeCell ref="G11:G12"/>
    <mergeCell ref="G16:G17"/>
    <mergeCell ref="G21:G22"/>
    <mergeCell ref="G36:G37"/>
    <mergeCell ref="G41:G42"/>
    <mergeCell ref="G46:G47"/>
    <mergeCell ref="G61:G62"/>
    <mergeCell ref="G66:G67"/>
    <mergeCell ref="G71:G72"/>
    <mergeCell ref="G76:G77"/>
    <mergeCell ref="G91:G92"/>
    <mergeCell ref="G151:G152"/>
    <mergeCell ref="G156:G157"/>
    <mergeCell ref="G161:G162"/>
    <mergeCell ref="G166:G167"/>
    <mergeCell ref="G101:G102"/>
    <mergeCell ref="G116:G117"/>
    <mergeCell ref="G121:G122"/>
    <mergeCell ref="G126:G127"/>
    <mergeCell ref="G131:G132"/>
    <mergeCell ref="G136:G1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L175"/>
  <sheetViews>
    <sheetView topLeftCell="A136" workbookViewId="0">
      <selection activeCell="B148" sqref="B148:C148"/>
    </sheetView>
  </sheetViews>
  <sheetFormatPr baseColWidth="10" defaultColWidth="11.42578125" defaultRowHeight="15"/>
  <cols>
    <col min="1" max="1" width="19.42578125" bestFit="1" customWidth="1"/>
    <col min="2" max="2" width="15.85546875" bestFit="1" customWidth="1"/>
    <col min="7" max="7" width="16.140625" bestFit="1" customWidth="1"/>
  </cols>
  <sheetData>
    <row r="4" spans="1:12">
      <c r="A4" t="s">
        <v>9</v>
      </c>
      <c r="B4" s="126" t="s">
        <v>126</v>
      </c>
      <c r="C4" s="127"/>
      <c r="D4" s="23"/>
      <c r="E4" s="23"/>
      <c r="F4" s="23"/>
      <c r="G4" s="23"/>
    </row>
    <row r="5" spans="1:12">
      <c r="A5" t="s">
        <v>18</v>
      </c>
      <c r="B5" s="23">
        <v>725.38</v>
      </c>
      <c r="C5" s="23"/>
      <c r="D5" s="23"/>
      <c r="E5" s="23"/>
      <c r="F5" s="23"/>
      <c r="G5" s="23"/>
    </row>
    <row r="6" spans="1:12">
      <c r="A6" t="s">
        <v>11</v>
      </c>
      <c r="B6" s="25">
        <v>43413</v>
      </c>
      <c r="C6" s="23"/>
      <c r="D6" s="23"/>
      <c r="E6" s="23"/>
      <c r="F6" s="23"/>
      <c r="G6" s="23"/>
    </row>
    <row r="7" spans="1:12">
      <c r="A7" t="s">
        <v>12</v>
      </c>
      <c r="B7" s="25">
        <v>43432</v>
      </c>
      <c r="C7" s="23"/>
      <c r="D7" s="23"/>
      <c r="E7" s="23"/>
      <c r="F7" s="23"/>
      <c r="G7" s="23"/>
    </row>
    <row r="8" spans="1:12">
      <c r="B8" s="23"/>
      <c r="C8" s="23"/>
      <c r="D8" s="23"/>
      <c r="E8" s="23"/>
      <c r="F8" s="23"/>
      <c r="G8" s="23"/>
    </row>
    <row r="9" spans="1:12">
      <c r="A9" s="4" t="s">
        <v>1</v>
      </c>
      <c r="B9" s="72" t="s">
        <v>127</v>
      </c>
      <c r="C9" s="23"/>
      <c r="D9" s="23"/>
      <c r="E9" s="23"/>
      <c r="F9" s="23"/>
      <c r="G9" s="23"/>
    </row>
    <row r="10" spans="1:12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2">
      <c r="A11" s="4" t="s">
        <v>4</v>
      </c>
      <c r="B11" s="29">
        <v>313900</v>
      </c>
      <c r="C11" s="29">
        <v>108700</v>
      </c>
      <c r="D11" s="29">
        <v>3000</v>
      </c>
      <c r="E11" s="29">
        <f>B11+C11+D11</f>
        <v>425600</v>
      </c>
      <c r="F11" s="30" t="s">
        <v>14</v>
      </c>
      <c r="G11" s="125">
        <v>5</v>
      </c>
      <c r="K11" s="9"/>
    </row>
    <row r="12" spans="1:12">
      <c r="A12" s="4" t="s">
        <v>5</v>
      </c>
      <c r="B12" s="29">
        <v>735600</v>
      </c>
      <c r="C12" s="29">
        <v>163500</v>
      </c>
      <c r="D12" s="29">
        <v>3000</v>
      </c>
      <c r="E12" s="29">
        <f>B12+C12+D12</f>
        <v>902100</v>
      </c>
      <c r="F12" s="30" t="s">
        <v>14</v>
      </c>
      <c r="G12" s="125"/>
      <c r="K12" s="10"/>
    </row>
    <row r="13" spans="1:12">
      <c r="B13" s="23"/>
      <c r="C13" s="23"/>
      <c r="D13" s="23"/>
      <c r="E13" s="23"/>
      <c r="F13" s="23"/>
      <c r="G13" s="23"/>
      <c r="I13" s="3"/>
      <c r="J13" s="3"/>
      <c r="K13" s="12"/>
    </row>
    <row r="14" spans="1:12">
      <c r="A14" s="4" t="s">
        <v>1</v>
      </c>
      <c r="B14" s="72" t="s">
        <v>128</v>
      </c>
      <c r="C14" s="23"/>
      <c r="D14" s="23"/>
      <c r="E14" s="23"/>
      <c r="F14" s="23"/>
      <c r="G14" s="23"/>
      <c r="I14" s="3"/>
      <c r="J14" s="3"/>
      <c r="K14" s="2"/>
    </row>
    <row r="15" spans="1:12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8</v>
      </c>
      <c r="K15" s="3"/>
    </row>
    <row r="16" spans="1:12">
      <c r="A16" s="4" t="s">
        <v>4</v>
      </c>
      <c r="B16" s="29">
        <v>261200</v>
      </c>
      <c r="C16" s="29">
        <v>134400</v>
      </c>
      <c r="D16" s="29">
        <v>3000</v>
      </c>
      <c r="E16" s="29">
        <f>B16+C16+D16</f>
        <v>398600</v>
      </c>
      <c r="F16" s="30" t="s">
        <v>14</v>
      </c>
      <c r="G16" s="125">
        <v>3</v>
      </c>
      <c r="I16" s="54" t="s">
        <v>61</v>
      </c>
      <c r="J16" s="55">
        <f>(G11*100/(G11+G16+G21))^2+(G16*100/(G11+G16+G21))^2+(G21*100/(G11+G16+G21))^2</f>
        <v>5312.5</v>
      </c>
      <c r="K16" s="3"/>
      <c r="L16" s="9"/>
    </row>
    <row r="17" spans="1:12">
      <c r="A17" s="4" t="s">
        <v>5</v>
      </c>
      <c r="B17" s="29">
        <v>479300</v>
      </c>
      <c r="C17" s="29">
        <v>162700</v>
      </c>
      <c r="D17" s="29">
        <v>3000</v>
      </c>
      <c r="E17" s="29">
        <f>B17+C17+D17</f>
        <v>645000</v>
      </c>
      <c r="F17" s="30" t="s">
        <v>14</v>
      </c>
      <c r="G17" s="125"/>
      <c r="L17" s="10"/>
    </row>
    <row r="18" spans="1:12">
      <c r="B18" s="23"/>
      <c r="C18" s="23"/>
      <c r="D18" s="23"/>
      <c r="E18" s="23"/>
      <c r="F18" s="23"/>
      <c r="G18" s="23"/>
      <c r="K18" s="3"/>
      <c r="L18" s="3"/>
    </row>
    <row r="19" spans="1:12">
      <c r="A19" s="4" t="s">
        <v>1</v>
      </c>
      <c r="B19" s="72"/>
      <c r="C19" s="23"/>
      <c r="D19" s="23"/>
      <c r="E19" s="23"/>
      <c r="F19" s="23"/>
      <c r="G19" s="23"/>
      <c r="K19" s="3"/>
      <c r="L19" s="3"/>
    </row>
    <row r="20" spans="1:12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K20" s="3"/>
      <c r="L20" s="3"/>
    </row>
    <row r="21" spans="1:12">
      <c r="A21" s="4" t="s">
        <v>4</v>
      </c>
      <c r="B21" s="29"/>
      <c r="C21" s="29"/>
      <c r="D21" s="29"/>
      <c r="E21" s="29"/>
      <c r="F21" s="30" t="s">
        <v>14</v>
      </c>
      <c r="G21" s="125"/>
      <c r="K21" s="14"/>
      <c r="L21" s="3"/>
    </row>
    <row r="22" spans="1:12">
      <c r="A22" s="4" t="s">
        <v>5</v>
      </c>
      <c r="B22" s="29"/>
      <c r="C22" s="29"/>
      <c r="D22" s="29"/>
      <c r="E22" s="29"/>
      <c r="F22" s="30" t="s">
        <v>14</v>
      </c>
      <c r="G22" s="125"/>
      <c r="K22" s="12"/>
      <c r="L22" s="3"/>
    </row>
    <row r="24" spans="1:12" s="42" customFormat="1">
      <c r="B24" s="73" t="s">
        <v>8</v>
      </c>
      <c r="C24" s="73" t="s">
        <v>7</v>
      </c>
      <c r="D24" s="73" t="s">
        <v>6</v>
      </c>
      <c r="E24" s="73" t="s">
        <v>10</v>
      </c>
      <c r="I24" s="47"/>
      <c r="J24" s="11"/>
      <c r="K24" s="47"/>
    </row>
    <row r="25" spans="1:12" s="42" customFormat="1">
      <c r="A25" s="44" t="s">
        <v>19</v>
      </c>
      <c r="B25" s="46">
        <f>(((B11+B12)/2*$G$11+(B16+B17)/2*$G$16+(B21+B22)/2*$G$21))/($G$11+$G$16+$G$21)/$B$5</f>
        <v>643.54200556949456</v>
      </c>
      <c r="C25" s="46">
        <f>(((C11+C12)/2*$G$11+(C16+C17)/2*$G$16+(C21+C22)/2*$G$21)/($G$11+$G$16+$G$21))/$B$5</f>
        <v>194.06207780749401</v>
      </c>
      <c r="D25" s="46">
        <f>(((D11+D12)/2*$G$11+(D16+D17)/2*$G$16+(D21+D22)/2*$G$21)/($G$11+$G$16+$G$21))/$B$5</f>
        <v>4.135763324050842</v>
      </c>
      <c r="E25" s="46">
        <f>(((E11+E12)/2*$G$11+(E16+E17)/2*$G$16+(E21+E22)/2*$G$21)/($G$11+$G$16+$G$21))/$B$5</f>
        <v>841.73984670103948</v>
      </c>
      <c r="H25" s="61"/>
      <c r="I25" s="61"/>
    </row>
    <row r="28" spans="1:12">
      <c r="A28" t="s">
        <v>9</v>
      </c>
      <c r="B28" s="126" t="s">
        <v>129</v>
      </c>
      <c r="C28" s="127"/>
      <c r="D28" s="23"/>
      <c r="E28" s="23"/>
      <c r="F28" s="23"/>
      <c r="G28" s="23"/>
    </row>
    <row r="29" spans="1:12">
      <c r="A29" t="s">
        <v>18</v>
      </c>
      <c r="B29" s="23">
        <v>1287.67</v>
      </c>
      <c r="C29" s="23"/>
      <c r="D29" s="23"/>
      <c r="E29" s="23"/>
      <c r="F29" s="23"/>
      <c r="G29" s="23"/>
    </row>
    <row r="30" spans="1:12">
      <c r="A30" t="s">
        <v>11</v>
      </c>
      <c r="B30" s="25">
        <v>43413</v>
      </c>
      <c r="C30" s="23"/>
      <c r="D30" s="23"/>
      <c r="E30" s="23"/>
      <c r="F30" s="23"/>
      <c r="G30" s="23"/>
    </row>
    <row r="31" spans="1:12">
      <c r="A31" t="s">
        <v>12</v>
      </c>
      <c r="B31" s="25">
        <v>43432</v>
      </c>
      <c r="C31" s="23"/>
      <c r="D31" s="23"/>
      <c r="E31" s="23"/>
      <c r="F31" s="23"/>
      <c r="G31" s="23"/>
    </row>
    <row r="32" spans="1:12">
      <c r="B32" s="23"/>
      <c r="C32" s="23"/>
      <c r="D32" s="23"/>
      <c r="E32" s="23"/>
      <c r="F32" s="23"/>
      <c r="G32" s="23"/>
    </row>
    <row r="33" spans="1:12">
      <c r="A33" s="4" t="s">
        <v>1</v>
      </c>
      <c r="B33" s="72" t="s">
        <v>127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460100</v>
      </c>
      <c r="C35" s="29">
        <v>127700</v>
      </c>
      <c r="D35" s="29">
        <v>3000</v>
      </c>
      <c r="E35" s="29">
        <f>B35+C35+D35</f>
        <v>590800</v>
      </c>
      <c r="F35" s="30" t="s">
        <v>14</v>
      </c>
      <c r="G35" s="125">
        <v>7</v>
      </c>
    </row>
    <row r="36" spans="1:12">
      <c r="A36" s="4" t="s">
        <v>5</v>
      </c>
      <c r="B36" s="29">
        <v>460100</v>
      </c>
      <c r="C36" s="29">
        <v>127700</v>
      </c>
      <c r="D36" s="29">
        <v>3000</v>
      </c>
      <c r="E36" s="29">
        <f>B36+C36+D36</f>
        <v>590800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2" t="s">
        <v>128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11</v>
      </c>
      <c r="K39" s="3"/>
    </row>
    <row r="40" spans="1:12">
      <c r="A40" s="4" t="s">
        <v>4</v>
      </c>
      <c r="B40" s="29">
        <v>461100</v>
      </c>
      <c r="C40" s="29">
        <v>127700</v>
      </c>
      <c r="D40" s="29">
        <v>3000</v>
      </c>
      <c r="E40" s="29">
        <f>B40+C40+D40</f>
        <v>591800</v>
      </c>
      <c r="F40" s="30" t="s">
        <v>14</v>
      </c>
      <c r="G40" s="125">
        <v>4</v>
      </c>
      <c r="I40" s="54" t="s">
        <v>61</v>
      </c>
      <c r="J40" s="55">
        <f>(G35*100/(G35+G40+G45))^2+(G40*100/(G35+G40+G45))^2+(G45*100/(G35+G40+G45))^2</f>
        <v>5371.9008264462809</v>
      </c>
      <c r="L40" s="9"/>
    </row>
    <row r="41" spans="1:12">
      <c r="A41" s="4" t="s">
        <v>5</v>
      </c>
      <c r="B41" s="29">
        <v>440900</v>
      </c>
      <c r="C41" s="29">
        <v>174000</v>
      </c>
      <c r="D41" s="29">
        <v>3000</v>
      </c>
      <c r="E41" s="29">
        <f>B41+C41+D41</f>
        <v>617900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2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8" spans="1:12" s="42" customFormat="1">
      <c r="B48" s="73" t="s">
        <v>8</v>
      </c>
      <c r="C48" s="73" t="s">
        <v>7</v>
      </c>
      <c r="D48" s="73" t="s">
        <v>6</v>
      </c>
      <c r="E48" s="73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(((B35+B36)/2*$G$35+(B40+B41)/2*$G$40+(B45+B46)/2*$G$45))/($J$39)/$B$29</f>
        <v>354.7422158556999</v>
      </c>
      <c r="C49" s="46">
        <f t="shared" ref="C49:D49" si="0">(((C35+C36)/2*$G$35+(C40+C41)/2*$G$40+(C45+C46)/2*$G$45))/($J$39)/$B$29</f>
        <v>105.70890198434523</v>
      </c>
      <c r="D49" s="46">
        <f t="shared" si="0"/>
        <v>2.3297894646920407</v>
      </c>
      <c r="E49" s="46">
        <f>B49+C49+D49</f>
        <v>462.78090730473718</v>
      </c>
      <c r="H49" s="61"/>
      <c r="I49" s="61"/>
    </row>
    <row r="52" spans="1:12">
      <c r="A52" t="s">
        <v>9</v>
      </c>
      <c r="B52" s="126" t="s">
        <v>130</v>
      </c>
      <c r="C52" s="127"/>
      <c r="D52" s="23"/>
      <c r="E52" s="23"/>
      <c r="F52" s="23"/>
      <c r="G52" s="23"/>
    </row>
    <row r="53" spans="1:12">
      <c r="A53" t="s">
        <v>18</v>
      </c>
      <c r="B53" s="23">
        <v>1502.47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2" t="s">
        <v>127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270800</v>
      </c>
      <c r="C59" s="29">
        <v>103100</v>
      </c>
      <c r="D59" s="29">
        <v>3000</v>
      </c>
      <c r="E59" s="29">
        <f>B59+C59+D59</f>
        <v>376900</v>
      </c>
      <c r="F59" s="30" t="s">
        <v>14</v>
      </c>
      <c r="G59" s="125">
        <v>7</v>
      </c>
    </row>
    <row r="60" spans="1:12">
      <c r="A60" s="4" t="s">
        <v>5</v>
      </c>
      <c r="B60" s="29">
        <v>553500</v>
      </c>
      <c r="C60" s="29">
        <v>139800</v>
      </c>
      <c r="D60" s="29">
        <v>3000</v>
      </c>
      <c r="E60" s="29">
        <f>B60+C60+D60</f>
        <v>696300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2" t="s">
        <v>128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</f>
        <v>12</v>
      </c>
      <c r="K63" s="3"/>
    </row>
    <row r="64" spans="1:12">
      <c r="A64" s="4" t="s">
        <v>4</v>
      </c>
      <c r="B64" s="29">
        <v>191700</v>
      </c>
      <c r="C64" s="29">
        <v>155100</v>
      </c>
      <c r="D64" s="29">
        <v>3000</v>
      </c>
      <c r="E64" s="29">
        <f>B64+C64+D64</f>
        <v>349800</v>
      </c>
      <c r="F64" s="30" t="s">
        <v>14</v>
      </c>
      <c r="G64" s="125">
        <v>5</v>
      </c>
      <c r="I64" s="54" t="s">
        <v>61</v>
      </c>
      <c r="J64" s="55">
        <f>(G59*100/(G59+G64+G69))^2+(G64*100/(G59+G64+G69))^2+(G69*100/(G59+G64+G69))^2</f>
        <v>5138.8888888888887</v>
      </c>
      <c r="L64" s="9"/>
    </row>
    <row r="65" spans="1:12">
      <c r="A65" s="4" t="s">
        <v>5</v>
      </c>
      <c r="B65" s="29">
        <v>421800</v>
      </c>
      <c r="C65" s="29">
        <v>185100</v>
      </c>
      <c r="D65" s="29">
        <v>3000</v>
      </c>
      <c r="E65" s="29">
        <f>B65+C65+D65</f>
        <v>609900</v>
      </c>
      <c r="F65" s="30" t="s">
        <v>14</v>
      </c>
      <c r="G65" s="125"/>
      <c r="L65" s="10"/>
    </row>
    <row r="66" spans="1:12">
      <c r="B66" s="23"/>
      <c r="C66" s="23">
        <v>17</v>
      </c>
      <c r="D66" s="23"/>
      <c r="E66" s="23"/>
      <c r="F66" s="23"/>
      <c r="G66" s="23"/>
      <c r="K66" s="3"/>
      <c r="L66" s="3"/>
    </row>
    <row r="67" spans="1:12">
      <c r="A67" s="4" t="s">
        <v>1</v>
      </c>
      <c r="B67" s="72"/>
      <c r="C67" s="23"/>
      <c r="D67" s="23"/>
      <c r="E67" s="23"/>
      <c r="F67" s="23"/>
      <c r="G67" s="23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K68" s="3"/>
      <c r="L68" s="3"/>
    </row>
    <row r="69" spans="1:12">
      <c r="A69" s="4" t="s">
        <v>4</v>
      </c>
      <c r="B69" s="29"/>
      <c r="C69" s="29"/>
      <c r="D69" s="29"/>
      <c r="E69" s="29"/>
      <c r="F69" s="30" t="s">
        <v>14</v>
      </c>
      <c r="G69" s="125"/>
      <c r="K69" s="14"/>
      <c r="L69" s="3"/>
    </row>
    <row r="70" spans="1:12">
      <c r="A70" s="4" t="s">
        <v>5</v>
      </c>
      <c r="B70" s="29"/>
      <c r="C70" s="29"/>
      <c r="D70" s="29"/>
      <c r="E70" s="29"/>
      <c r="F70" s="30" t="s">
        <v>14</v>
      </c>
      <c r="G70" s="125"/>
      <c r="K70" s="12"/>
      <c r="L70" s="3"/>
    </row>
    <row r="72" spans="1:12" s="42" customFormat="1">
      <c r="B72" s="73" t="s">
        <v>8</v>
      </c>
      <c r="C72" s="73" t="s">
        <v>7</v>
      </c>
      <c r="D72" s="73" t="s">
        <v>6</v>
      </c>
      <c r="E72" s="73" t="s">
        <v>10</v>
      </c>
      <c r="I72" s="47"/>
      <c r="J72" s="11"/>
      <c r="K72" s="47"/>
    </row>
    <row r="73" spans="1:12" s="42" customFormat="1">
      <c r="A73" s="44" t="s">
        <v>19</v>
      </c>
      <c r="B73" s="46">
        <f>(((B59+B60)/2*$G$59+(B64+B65)/2*$G$64+(B69+B70)/2*$G$69))/($J$63)/$B$53</f>
        <v>245.08531507007348</v>
      </c>
      <c r="C73" s="46">
        <f t="shared" ref="C73:D73" si="1">(((C59+C60)/2*$G$59+(C64+C65)/2*$G$64+(C69+C70)/2*$G$69))/($J$63)/$B$53</f>
        <v>94.32523333799233</v>
      </c>
      <c r="D73" s="46">
        <f t="shared" si="1"/>
        <v>1.9967120807736594</v>
      </c>
      <c r="E73" s="46">
        <f>B73+C73+D73</f>
        <v>341.40726048883943</v>
      </c>
      <c r="H73" s="61"/>
      <c r="I73" s="61"/>
    </row>
    <row r="76" spans="1:12">
      <c r="A76" t="s">
        <v>9</v>
      </c>
      <c r="B76" s="126" t="s">
        <v>131</v>
      </c>
      <c r="C76" s="127"/>
      <c r="D76" s="23"/>
      <c r="E76" s="23"/>
      <c r="F76" s="23"/>
      <c r="G76" s="23"/>
    </row>
    <row r="77" spans="1:12">
      <c r="A77" t="s">
        <v>18</v>
      </c>
      <c r="B77" s="23">
        <v>3344.97</v>
      </c>
      <c r="C77" s="23"/>
      <c r="D77" s="23"/>
      <c r="E77" s="23"/>
      <c r="F77" s="23"/>
      <c r="G77" s="23"/>
    </row>
    <row r="78" spans="1:12">
      <c r="A78" t="s">
        <v>11</v>
      </c>
      <c r="B78" s="25">
        <v>43413</v>
      </c>
      <c r="C78" s="23"/>
      <c r="D78" s="23"/>
      <c r="E78" s="23"/>
      <c r="F78" s="23"/>
      <c r="G78" s="23"/>
    </row>
    <row r="79" spans="1:12">
      <c r="A79" t="s">
        <v>12</v>
      </c>
      <c r="B79" s="25">
        <v>43432</v>
      </c>
      <c r="C79" s="23"/>
      <c r="D79" s="23"/>
      <c r="E79" s="23"/>
      <c r="F79" s="23"/>
      <c r="G79" s="23"/>
    </row>
    <row r="80" spans="1:12">
      <c r="B80" s="23"/>
      <c r="C80" s="23"/>
      <c r="D80" s="23"/>
      <c r="E80" s="23"/>
      <c r="F80" s="23"/>
      <c r="G80" s="23"/>
    </row>
    <row r="81" spans="1:12">
      <c r="A81" s="4" t="s">
        <v>1</v>
      </c>
      <c r="B81" s="72" t="s">
        <v>127</v>
      </c>
      <c r="C81" s="23"/>
      <c r="D81" s="23"/>
      <c r="E81" s="23"/>
      <c r="F81" s="23"/>
      <c r="G81" s="23"/>
    </row>
    <row r="82" spans="1:12">
      <c r="A82" s="4" t="s">
        <v>3</v>
      </c>
      <c r="B82" s="28" t="s">
        <v>8</v>
      </c>
      <c r="C82" s="28" t="s">
        <v>7</v>
      </c>
      <c r="D82" s="28" t="s">
        <v>6</v>
      </c>
      <c r="E82" s="28" t="s">
        <v>10</v>
      </c>
      <c r="F82" s="28" t="s">
        <v>13</v>
      </c>
      <c r="G82" s="28" t="s">
        <v>15</v>
      </c>
    </row>
    <row r="83" spans="1:12">
      <c r="A83" s="4" t="s">
        <v>4</v>
      </c>
      <c r="B83" s="29">
        <v>603300</v>
      </c>
      <c r="C83" s="29">
        <v>146700</v>
      </c>
      <c r="D83" s="29">
        <v>3000</v>
      </c>
      <c r="E83" s="29">
        <f>B83+C83+D83</f>
        <v>753000</v>
      </c>
      <c r="F83" s="30" t="s">
        <v>14</v>
      </c>
      <c r="G83" s="125">
        <v>11</v>
      </c>
    </row>
    <row r="84" spans="1:12">
      <c r="A84" s="4" t="s">
        <v>5</v>
      </c>
      <c r="B84" s="29">
        <v>980000</v>
      </c>
      <c r="C84" s="29">
        <v>195200</v>
      </c>
      <c r="D84" s="29">
        <v>3000</v>
      </c>
      <c r="E84" s="29">
        <f>B84+C84+D84</f>
        <v>1178200</v>
      </c>
      <c r="F84" s="30" t="s">
        <v>14</v>
      </c>
      <c r="G84" s="125"/>
    </row>
    <row r="85" spans="1:12">
      <c r="B85" s="23"/>
      <c r="C85" s="23"/>
      <c r="D85" s="23"/>
      <c r="E85" s="23"/>
      <c r="F85" s="23"/>
      <c r="G85" s="23"/>
      <c r="K85" s="82"/>
    </row>
    <row r="86" spans="1:12">
      <c r="A86" s="4" t="s">
        <v>1</v>
      </c>
      <c r="B86" s="72" t="s">
        <v>128</v>
      </c>
      <c r="C86" s="23"/>
      <c r="D86" s="23"/>
      <c r="E86" s="23"/>
      <c r="F86" s="23"/>
      <c r="G86" s="23"/>
      <c r="K86" s="2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  <c r="I87" s="57" t="s">
        <v>63</v>
      </c>
      <c r="J87" s="12">
        <f>G83+G88+G93</f>
        <v>17</v>
      </c>
      <c r="K87" s="3"/>
    </row>
    <row r="88" spans="1:12">
      <c r="A88" s="4" t="s">
        <v>4</v>
      </c>
      <c r="B88" s="29">
        <v>479700</v>
      </c>
      <c r="C88" s="29">
        <v>192600</v>
      </c>
      <c r="D88" s="29">
        <v>3000</v>
      </c>
      <c r="E88" s="29">
        <f>B88+C88+D88</f>
        <v>675300</v>
      </c>
      <c r="F88" s="30" t="s">
        <v>14</v>
      </c>
      <c r="G88" s="125">
        <v>6</v>
      </c>
      <c r="I88" s="54" t="s">
        <v>61</v>
      </c>
      <c r="J88" s="55">
        <f>(G83*100/(G83+G88+G93))^2+(G88*100/(G83+G88+G93))^2+(G93*100/(G83+G88+G93))^2</f>
        <v>5432.5259515570933</v>
      </c>
      <c r="L88" s="9"/>
    </row>
    <row r="89" spans="1:12">
      <c r="A89" s="4" t="s">
        <v>5</v>
      </c>
      <c r="B89" s="29">
        <v>742800</v>
      </c>
      <c r="C89" s="29">
        <v>213200</v>
      </c>
      <c r="D89" s="29">
        <v>3000</v>
      </c>
      <c r="E89" s="29">
        <f>B89+C89+D89</f>
        <v>959000</v>
      </c>
      <c r="F89" s="30" t="s">
        <v>14</v>
      </c>
      <c r="G89" s="125"/>
      <c r="L89" s="10"/>
    </row>
    <row r="90" spans="1:12">
      <c r="B90" s="23"/>
      <c r="C90" s="23"/>
      <c r="D90" s="23"/>
      <c r="E90" s="23"/>
      <c r="F90" s="23"/>
      <c r="G90" s="23"/>
      <c r="K90" s="3"/>
      <c r="L90" s="3"/>
    </row>
    <row r="91" spans="1:12">
      <c r="A91" s="4" t="s">
        <v>1</v>
      </c>
      <c r="B91" s="72"/>
      <c r="C91" s="23"/>
      <c r="D91" s="23"/>
      <c r="E91" s="23"/>
      <c r="F91" s="23"/>
      <c r="G91" s="23"/>
      <c r="K91" s="3"/>
      <c r="L91" s="3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K92" s="3"/>
      <c r="L92" s="3"/>
    </row>
    <row r="93" spans="1:12">
      <c r="A93" s="4" t="s">
        <v>4</v>
      </c>
      <c r="B93" s="29"/>
      <c r="C93" s="29"/>
      <c r="D93" s="29"/>
      <c r="E93" s="29">
        <f>B93+C93+D93</f>
        <v>0</v>
      </c>
      <c r="F93" s="30" t="s">
        <v>14</v>
      </c>
      <c r="G93" s="125"/>
      <c r="K93" s="14"/>
      <c r="L93" s="3"/>
    </row>
    <row r="94" spans="1:12">
      <c r="A94" s="4" t="s">
        <v>5</v>
      </c>
      <c r="B94" s="29"/>
      <c r="C94" s="29"/>
      <c r="D94" s="29"/>
      <c r="E94" s="29">
        <f>B94+C94+D94</f>
        <v>0</v>
      </c>
      <c r="F94" s="30" t="s">
        <v>14</v>
      </c>
      <c r="G94" s="125"/>
      <c r="K94" s="12"/>
      <c r="L94" s="3"/>
    </row>
    <row r="96" spans="1:12" s="42" customFormat="1">
      <c r="B96" s="73" t="s">
        <v>8</v>
      </c>
      <c r="C96" s="73" t="s">
        <v>7</v>
      </c>
      <c r="D96" s="73" t="s">
        <v>6</v>
      </c>
      <c r="E96" s="73" t="s">
        <v>10</v>
      </c>
      <c r="I96" s="47"/>
      <c r="J96" s="11"/>
      <c r="K96" s="47"/>
    </row>
    <row r="97" spans="1:12" s="42" customFormat="1">
      <c r="A97" s="44" t="s">
        <v>19</v>
      </c>
      <c r="B97" s="46">
        <f>(((B83+B84)/2*$G$83+(B88+B89)/2*$G$88+(B93+B94)/2*$G$93))/($J$87)/$B$77</f>
        <v>217.63406301542494</v>
      </c>
      <c r="C97" s="46">
        <f t="shared" ref="C97:D97" si="2">(((C83+C84)/2*$G$83+(C88+C89)/2*$G$88+(C93+C94)/2*$G$93))/($J$87)/$B$77</f>
        <v>54.477759318689053</v>
      </c>
      <c r="D97" s="46">
        <f t="shared" si="2"/>
        <v>0.89686903021551767</v>
      </c>
      <c r="E97" s="46">
        <f>B97+C97+D97</f>
        <v>273.00869136432948</v>
      </c>
      <c r="H97" s="61"/>
      <c r="I97" s="61"/>
    </row>
    <row r="100" spans="1:12">
      <c r="A100" t="s">
        <v>9</v>
      </c>
      <c r="B100" s="126" t="s">
        <v>132</v>
      </c>
      <c r="C100" s="127"/>
      <c r="D100" s="23"/>
      <c r="E100" s="23"/>
      <c r="F100" s="23"/>
      <c r="G100" s="23"/>
    </row>
    <row r="101" spans="1:12">
      <c r="A101" t="s">
        <v>18</v>
      </c>
      <c r="B101" s="23">
        <v>2688.15</v>
      </c>
      <c r="C101" s="23"/>
      <c r="D101" s="23"/>
      <c r="E101" s="23"/>
      <c r="F101" s="23"/>
      <c r="G101" s="23"/>
    </row>
    <row r="102" spans="1:12">
      <c r="A102" t="s">
        <v>11</v>
      </c>
      <c r="B102" s="25">
        <v>43413</v>
      </c>
      <c r="C102" s="23"/>
      <c r="D102" s="23"/>
      <c r="E102" s="23"/>
      <c r="F102" s="23"/>
      <c r="G102" s="23"/>
    </row>
    <row r="103" spans="1:12">
      <c r="A103" t="s">
        <v>12</v>
      </c>
      <c r="B103" s="25">
        <v>43432</v>
      </c>
      <c r="C103" s="23"/>
      <c r="D103" s="23"/>
      <c r="E103" s="23"/>
      <c r="F103" s="23"/>
      <c r="G103" s="23"/>
    </row>
    <row r="104" spans="1:12">
      <c r="B104" s="23"/>
      <c r="C104" s="23"/>
      <c r="D104" s="23"/>
      <c r="E104" s="23"/>
      <c r="F104" s="23"/>
      <c r="G104" s="23"/>
    </row>
    <row r="105" spans="1:12">
      <c r="A105" s="4" t="s">
        <v>1</v>
      </c>
      <c r="B105" s="72" t="s">
        <v>127</v>
      </c>
      <c r="C105" s="23"/>
      <c r="D105" s="23"/>
      <c r="E105" s="23"/>
      <c r="F105" s="23"/>
      <c r="G105" s="23"/>
    </row>
    <row r="106" spans="1:12">
      <c r="A106" s="4" t="s">
        <v>3</v>
      </c>
      <c r="B106" s="28" t="s">
        <v>8</v>
      </c>
      <c r="C106" s="28" t="s">
        <v>7</v>
      </c>
      <c r="D106" s="28" t="s">
        <v>6</v>
      </c>
      <c r="E106" s="28" t="s">
        <v>10</v>
      </c>
      <c r="F106" s="28" t="s">
        <v>13</v>
      </c>
      <c r="G106" s="28" t="s">
        <v>15</v>
      </c>
    </row>
    <row r="107" spans="1:12">
      <c r="A107" s="4" t="s">
        <v>4</v>
      </c>
      <c r="B107" s="29">
        <v>333100</v>
      </c>
      <c r="C107" s="29">
        <v>111200</v>
      </c>
      <c r="D107" s="29">
        <v>3000</v>
      </c>
      <c r="E107" s="29">
        <f>B107+C107+D107</f>
        <v>447300</v>
      </c>
      <c r="F107" s="30" t="s">
        <v>14</v>
      </c>
      <c r="G107" s="125">
        <v>8</v>
      </c>
    </row>
    <row r="108" spans="1:12">
      <c r="A108" s="4" t="s">
        <v>5</v>
      </c>
      <c r="B108" s="29">
        <v>685300</v>
      </c>
      <c r="C108" s="29">
        <v>156900</v>
      </c>
      <c r="D108" s="29">
        <v>3000</v>
      </c>
      <c r="E108" s="29">
        <f>B108+C108+D108</f>
        <v>845200</v>
      </c>
      <c r="F108" s="30" t="s">
        <v>14</v>
      </c>
      <c r="G108" s="125"/>
    </row>
    <row r="109" spans="1:12">
      <c r="B109" s="23"/>
      <c r="C109" s="23"/>
      <c r="D109" s="23"/>
      <c r="E109" s="23"/>
      <c r="F109" s="23"/>
      <c r="G109" s="23"/>
      <c r="K109" s="82"/>
    </row>
    <row r="110" spans="1:12">
      <c r="A110" s="4" t="s">
        <v>1</v>
      </c>
      <c r="B110" s="72" t="s">
        <v>128</v>
      </c>
      <c r="C110" s="23"/>
      <c r="D110" s="23"/>
      <c r="E110" s="23"/>
      <c r="F110" s="23"/>
      <c r="G110" s="23"/>
      <c r="K110" s="2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  <c r="I111" s="57" t="s">
        <v>63</v>
      </c>
      <c r="J111" s="12">
        <f>G107+G112+G117</f>
        <v>19</v>
      </c>
      <c r="K111" s="3"/>
    </row>
    <row r="112" spans="1:12">
      <c r="A112" s="4" t="s">
        <v>4</v>
      </c>
      <c r="B112" s="29">
        <v>231300</v>
      </c>
      <c r="C112" s="29">
        <v>186300</v>
      </c>
      <c r="D112" s="29">
        <v>3000</v>
      </c>
      <c r="E112" s="29">
        <f>B112+C112+D112</f>
        <v>420600</v>
      </c>
      <c r="F112" s="30" t="s">
        <v>14</v>
      </c>
      <c r="G112" s="125">
        <v>11</v>
      </c>
      <c r="I112" s="54" t="s">
        <v>61</v>
      </c>
      <c r="J112" s="55">
        <f>(G107*100/(G107+G112+G117))^2+(G112*100/(G107+G112+G117))^2+(G117*100/(G107+G112+G117))^2</f>
        <v>5124.6537396121885</v>
      </c>
      <c r="L112" s="9"/>
    </row>
    <row r="113" spans="1:12">
      <c r="A113" s="4" t="s">
        <v>5</v>
      </c>
      <c r="B113" s="29">
        <v>553500</v>
      </c>
      <c r="C113" s="29">
        <v>202200</v>
      </c>
      <c r="D113" s="29">
        <v>3000</v>
      </c>
      <c r="E113" s="29">
        <f>B113+C113+D113</f>
        <v>758700</v>
      </c>
      <c r="F113" s="30" t="s">
        <v>14</v>
      </c>
      <c r="G113" s="125"/>
      <c r="L113" s="10"/>
    </row>
    <row r="114" spans="1:12">
      <c r="B114" s="23"/>
      <c r="C114" s="23"/>
      <c r="D114" s="23"/>
      <c r="E114" s="23"/>
      <c r="F114" s="23"/>
      <c r="G114" s="23"/>
      <c r="K114" s="3"/>
      <c r="L114" s="3"/>
    </row>
    <row r="115" spans="1:12">
      <c r="A115" s="4" t="s">
        <v>1</v>
      </c>
      <c r="B115" s="72"/>
      <c r="C115" s="23"/>
      <c r="D115" s="23"/>
      <c r="E115" s="23"/>
      <c r="F115" s="23"/>
      <c r="G115" s="23"/>
      <c r="K115" s="3"/>
      <c r="L115" s="3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K116" s="3"/>
      <c r="L116" s="3"/>
    </row>
    <row r="117" spans="1:12">
      <c r="A117" s="4" t="s">
        <v>4</v>
      </c>
      <c r="B117" s="29"/>
      <c r="C117" s="29"/>
      <c r="D117" s="29"/>
      <c r="E117" s="29"/>
      <c r="F117" s="30" t="s">
        <v>14</v>
      </c>
      <c r="G117" s="125"/>
      <c r="K117" s="14"/>
      <c r="L117" s="3"/>
    </row>
    <row r="118" spans="1:12">
      <c r="A118" s="4" t="s">
        <v>5</v>
      </c>
      <c r="B118" s="29"/>
      <c r="C118" s="29"/>
      <c r="D118" s="29"/>
      <c r="E118" s="29"/>
      <c r="F118" s="30" t="s">
        <v>14</v>
      </c>
      <c r="G118" s="125"/>
      <c r="K118" s="12"/>
      <c r="L118" s="3"/>
    </row>
    <row r="120" spans="1:12" s="42" customFormat="1">
      <c r="B120" s="73" t="s">
        <v>8</v>
      </c>
      <c r="C120" s="73" t="s">
        <v>7</v>
      </c>
      <c r="D120" s="73" t="s">
        <v>6</v>
      </c>
      <c r="E120" s="73" t="s">
        <v>10</v>
      </c>
      <c r="I120" s="47"/>
      <c r="J120" s="11"/>
      <c r="K120" s="47"/>
    </row>
    <row r="121" spans="1:12" s="42" customFormat="1">
      <c r="A121" s="44" t="s">
        <v>19</v>
      </c>
      <c r="B121" s="46">
        <f>(((B107+B108)/2*$G$107+(B112+B113)/2*$G$112+(B117+B118)/2*$G$117))/($J$111)/$B$101</f>
        <v>164.26871542451912</v>
      </c>
      <c r="C121" s="46">
        <f t="shared" ref="C121:D121" si="3">(((C107+C108)/2*$G$107+(C112+C113)/2*$G$112+(C117+C118)/2*$G$117))/($J$111)/$B$101</f>
        <v>62.832294172180625</v>
      </c>
      <c r="D121" s="46">
        <f t="shared" si="3"/>
        <v>1.1160091512750405</v>
      </c>
      <c r="E121" s="46">
        <f>B121+C121+D121</f>
        <v>228.21701874797478</v>
      </c>
      <c r="H121" s="61"/>
      <c r="I121" s="61"/>
    </row>
    <row r="124" spans="1:12">
      <c r="A124" t="s">
        <v>9</v>
      </c>
      <c r="B124" s="126" t="s">
        <v>133</v>
      </c>
      <c r="C124" s="127"/>
      <c r="D124" s="23"/>
      <c r="E124" s="23"/>
      <c r="F124" s="23"/>
      <c r="G124" s="23"/>
    </row>
    <row r="125" spans="1:12">
      <c r="A125" t="s">
        <v>18</v>
      </c>
      <c r="B125" s="23">
        <v>363.6</v>
      </c>
      <c r="C125" s="23"/>
      <c r="D125" s="23"/>
      <c r="E125" s="23"/>
      <c r="F125" s="23"/>
      <c r="G125" s="23"/>
    </row>
    <row r="126" spans="1:12">
      <c r="A126" t="s">
        <v>11</v>
      </c>
      <c r="B126" s="25">
        <v>43413</v>
      </c>
      <c r="C126" s="23"/>
      <c r="D126" s="23"/>
      <c r="E126" s="23"/>
      <c r="F126" s="23"/>
      <c r="G126" s="23"/>
    </row>
    <row r="127" spans="1:12">
      <c r="A127" t="s">
        <v>12</v>
      </c>
      <c r="B127" s="25">
        <v>43432</v>
      </c>
      <c r="C127" s="23"/>
      <c r="D127" s="23"/>
      <c r="E127" s="23"/>
      <c r="F127" s="23"/>
      <c r="G127" s="23"/>
    </row>
    <row r="128" spans="1:12">
      <c r="B128" s="23"/>
      <c r="C128" s="23"/>
      <c r="D128" s="23"/>
      <c r="E128" s="23"/>
      <c r="F128" s="23"/>
      <c r="G128" s="23"/>
    </row>
    <row r="129" spans="1:12">
      <c r="A129" s="4" t="s">
        <v>1</v>
      </c>
      <c r="B129" s="72" t="s">
        <v>127</v>
      </c>
      <c r="C129" s="23"/>
      <c r="D129" s="23"/>
      <c r="E129" s="23"/>
      <c r="F129" s="23"/>
      <c r="G129" s="23"/>
    </row>
    <row r="130" spans="1:12">
      <c r="A130" s="4" t="s">
        <v>3</v>
      </c>
      <c r="B130" s="28" t="s">
        <v>8</v>
      </c>
      <c r="C130" s="28" t="s">
        <v>7</v>
      </c>
      <c r="D130" s="28" t="s">
        <v>6</v>
      </c>
      <c r="E130" s="28" t="s">
        <v>10</v>
      </c>
      <c r="F130" s="28" t="s">
        <v>13</v>
      </c>
      <c r="G130" s="28" t="s">
        <v>15</v>
      </c>
    </row>
    <row r="131" spans="1:12">
      <c r="A131" s="4" t="s">
        <v>4</v>
      </c>
      <c r="B131" s="29">
        <v>429300</v>
      </c>
      <c r="C131" s="29">
        <v>123700</v>
      </c>
      <c r="D131" s="29">
        <v>3000</v>
      </c>
      <c r="E131" s="29">
        <f>B131+C131+D131</f>
        <v>556000</v>
      </c>
      <c r="F131" s="30" t="s">
        <v>14</v>
      </c>
      <c r="G131" s="125">
        <v>18</v>
      </c>
      <c r="I131" s="14"/>
      <c r="J131" s="3"/>
      <c r="K131" s="9"/>
    </row>
    <row r="132" spans="1:12">
      <c r="A132" s="4" t="s">
        <v>5</v>
      </c>
      <c r="B132" s="29">
        <v>638000</v>
      </c>
      <c r="C132" s="29">
        <v>150800</v>
      </c>
      <c r="D132" s="29">
        <v>3000</v>
      </c>
      <c r="E132" s="29">
        <f>B132+C132+D132</f>
        <v>791800</v>
      </c>
      <c r="F132" s="30" t="s">
        <v>14</v>
      </c>
      <c r="G132" s="125"/>
      <c r="I132" s="12"/>
      <c r="J132" s="3"/>
      <c r="K132" s="10"/>
    </row>
    <row r="133" spans="1:12">
      <c r="B133" s="23"/>
      <c r="C133" s="23"/>
      <c r="D133" s="23"/>
      <c r="E133" s="23"/>
      <c r="F133" s="23"/>
      <c r="G133" s="23"/>
      <c r="I133" s="12"/>
      <c r="J133" s="3"/>
      <c r="K133" s="12"/>
    </row>
    <row r="134" spans="1:12">
      <c r="A134" s="4" t="s">
        <v>1</v>
      </c>
      <c r="B134" s="72" t="s">
        <v>128</v>
      </c>
      <c r="C134" s="23"/>
      <c r="D134" s="23"/>
      <c r="E134" s="23"/>
      <c r="F134" s="23"/>
      <c r="G134" s="23"/>
      <c r="I134" s="13"/>
      <c r="J134" s="3"/>
      <c r="K134" s="2"/>
    </row>
    <row r="135" spans="1:12">
      <c r="A135" s="4" t="s">
        <v>3</v>
      </c>
      <c r="B135" s="28" t="s">
        <v>8</v>
      </c>
      <c r="C135" s="28" t="s">
        <v>7</v>
      </c>
      <c r="D135" s="28" t="s">
        <v>6</v>
      </c>
      <c r="E135" s="28" t="s">
        <v>10</v>
      </c>
      <c r="F135" s="28" t="s">
        <v>13</v>
      </c>
      <c r="G135" s="28" t="s">
        <v>15</v>
      </c>
      <c r="I135" s="57" t="s">
        <v>63</v>
      </c>
      <c r="J135" s="12">
        <f>G131+G136+G141</f>
        <v>28</v>
      </c>
      <c r="K135" s="3"/>
    </row>
    <row r="136" spans="1:12">
      <c r="A136" s="4" t="s">
        <v>4</v>
      </c>
      <c r="B136" s="29">
        <v>323800</v>
      </c>
      <c r="C136" s="29">
        <v>142500</v>
      </c>
      <c r="D136" s="29">
        <v>3000</v>
      </c>
      <c r="E136" s="29">
        <f>B136+C136+D136</f>
        <v>469300</v>
      </c>
      <c r="F136" s="30" t="s">
        <v>14</v>
      </c>
      <c r="G136" s="125">
        <v>10</v>
      </c>
      <c r="I136" s="54" t="s">
        <v>61</v>
      </c>
      <c r="J136" s="55">
        <f>(G131*100/(G131+G136+G141))^2+(G136*100/(G131+G136+G141))^2+(G141*100/(G131+G136+G141))^2</f>
        <v>5408.1632653061233</v>
      </c>
      <c r="K136" s="3"/>
      <c r="L136" s="9"/>
    </row>
    <row r="137" spans="1:12">
      <c r="A137" s="4" t="s">
        <v>5</v>
      </c>
      <c r="B137" s="29">
        <v>323800</v>
      </c>
      <c r="C137" s="29">
        <v>142500</v>
      </c>
      <c r="D137" s="29">
        <v>3000</v>
      </c>
      <c r="E137" s="29">
        <f>B137+C137+D137</f>
        <v>469300</v>
      </c>
      <c r="F137" s="30" t="s">
        <v>14</v>
      </c>
      <c r="G137" s="125"/>
      <c r="I137" s="12"/>
      <c r="J137" s="3"/>
      <c r="L137" s="10"/>
    </row>
    <row r="138" spans="1:12">
      <c r="B138" s="23"/>
      <c r="C138" s="23"/>
      <c r="D138" s="23"/>
      <c r="E138" s="23"/>
      <c r="F138" s="23"/>
      <c r="G138" s="23"/>
      <c r="I138" s="13"/>
      <c r="J138" s="3"/>
      <c r="K138" s="3"/>
      <c r="L138" s="3"/>
    </row>
    <row r="139" spans="1:12">
      <c r="A139" s="4" t="s">
        <v>1</v>
      </c>
      <c r="B139" s="72"/>
      <c r="C139" s="23"/>
      <c r="D139" s="23"/>
      <c r="E139" s="23"/>
      <c r="F139" s="23"/>
      <c r="G139" s="23"/>
      <c r="K139" s="3"/>
      <c r="L139" s="3"/>
    </row>
    <row r="140" spans="1:12">
      <c r="A140" s="4" t="s">
        <v>3</v>
      </c>
      <c r="B140" s="28" t="s">
        <v>8</v>
      </c>
      <c r="C140" s="28" t="s">
        <v>7</v>
      </c>
      <c r="D140" s="28" t="s">
        <v>6</v>
      </c>
      <c r="E140" s="28" t="s">
        <v>10</v>
      </c>
      <c r="F140" s="28" t="s">
        <v>13</v>
      </c>
      <c r="G140" s="28" t="s">
        <v>15</v>
      </c>
      <c r="K140" s="3"/>
      <c r="L140" s="3"/>
    </row>
    <row r="141" spans="1:12">
      <c r="A141" s="4" t="s">
        <v>4</v>
      </c>
      <c r="B141" s="29"/>
      <c r="C141" s="29"/>
      <c r="D141" s="29"/>
      <c r="E141" s="29"/>
      <c r="F141" s="30" t="s">
        <v>14</v>
      </c>
      <c r="G141" s="125"/>
      <c r="K141" s="14"/>
      <c r="L141" s="3"/>
    </row>
    <row r="142" spans="1:12">
      <c r="A142" s="4" t="s">
        <v>5</v>
      </c>
      <c r="B142" s="29"/>
      <c r="C142" s="29"/>
      <c r="D142" s="29"/>
      <c r="E142" s="29"/>
      <c r="F142" s="30" t="s">
        <v>14</v>
      </c>
      <c r="G142" s="125"/>
      <c r="K142" s="12"/>
      <c r="L142" s="3"/>
    </row>
    <row r="144" spans="1:12" s="42" customFormat="1">
      <c r="B144" s="73" t="s">
        <v>8</v>
      </c>
      <c r="C144" s="73" t="s">
        <v>7</v>
      </c>
      <c r="D144" s="73" t="s">
        <v>6</v>
      </c>
      <c r="E144" s="73" t="s">
        <v>10</v>
      </c>
      <c r="I144" s="47"/>
      <c r="J144" s="11"/>
      <c r="K144" s="47"/>
    </row>
    <row r="145" spans="1:12" s="42" customFormat="1">
      <c r="A145" s="44" t="s">
        <v>19</v>
      </c>
      <c r="B145" s="46">
        <f>(((B131+B132)/2*$G$131+(B136+B137)/2*$G$136+(B141+B142)/2*$G$141))/($J$135)/$B$125</f>
        <v>1261.560977526324</v>
      </c>
      <c r="C145" s="46">
        <f t="shared" ref="C145:D145" si="4">(((C131+C132)/2*$G$131+(C136+C137)/2*$G$136+(C141+C142)/2*$G$141))/($J$135)/$B$125</f>
        <v>382.63201320132009</v>
      </c>
      <c r="D145" s="46">
        <f t="shared" si="4"/>
        <v>8.2508250825082499</v>
      </c>
      <c r="E145" s="46">
        <f>B145+C145+D145</f>
        <v>1652.4438158101523</v>
      </c>
      <c r="H145" s="61"/>
      <c r="I145" s="61"/>
    </row>
    <row r="148" spans="1:12">
      <c r="A148" t="s">
        <v>9</v>
      </c>
      <c r="B148" s="126" t="s">
        <v>134</v>
      </c>
      <c r="C148" s="127"/>
      <c r="D148" s="23"/>
      <c r="E148" s="23"/>
      <c r="F148" s="23"/>
      <c r="G148" s="23"/>
    </row>
    <row r="149" spans="1:12">
      <c r="A149" t="s">
        <v>18</v>
      </c>
      <c r="B149" s="23">
        <v>505.95</v>
      </c>
      <c r="C149" s="23"/>
      <c r="D149" s="23"/>
      <c r="E149" s="23"/>
      <c r="F149" s="23"/>
      <c r="G149" s="23"/>
    </row>
    <row r="150" spans="1:12">
      <c r="A150" t="s">
        <v>11</v>
      </c>
      <c r="B150" s="25">
        <v>43413</v>
      </c>
      <c r="C150" s="23"/>
      <c r="D150" s="23"/>
      <c r="E150" s="23"/>
      <c r="F150" s="23"/>
      <c r="G150" s="23"/>
    </row>
    <row r="151" spans="1:12">
      <c r="A151" t="s">
        <v>12</v>
      </c>
      <c r="B151" s="25">
        <v>43432</v>
      </c>
      <c r="C151" s="23"/>
      <c r="D151" s="23"/>
      <c r="E151" s="23"/>
      <c r="F151" s="23"/>
      <c r="G151" s="23"/>
    </row>
    <row r="152" spans="1:12">
      <c r="B152" s="23"/>
      <c r="C152" s="23"/>
      <c r="D152" s="23"/>
      <c r="E152" s="23"/>
      <c r="F152" s="23"/>
      <c r="G152" s="23"/>
    </row>
    <row r="153" spans="1:12">
      <c r="A153" s="4" t="s">
        <v>1</v>
      </c>
      <c r="B153" s="72" t="s">
        <v>127</v>
      </c>
      <c r="C153" s="23"/>
      <c r="D153" s="23"/>
      <c r="E153" s="23"/>
      <c r="F153" s="23"/>
      <c r="G153" s="23"/>
    </row>
    <row r="154" spans="1:12">
      <c r="A154" s="4" t="s">
        <v>3</v>
      </c>
      <c r="B154" s="28" t="s">
        <v>8</v>
      </c>
      <c r="C154" s="28" t="s">
        <v>7</v>
      </c>
      <c r="D154" s="28" t="s">
        <v>6</v>
      </c>
      <c r="E154" s="28" t="s">
        <v>10</v>
      </c>
      <c r="F154" s="28" t="s">
        <v>13</v>
      </c>
      <c r="G154" s="28" t="s">
        <v>15</v>
      </c>
    </row>
    <row r="155" spans="1:12">
      <c r="A155" s="4" t="s">
        <v>4</v>
      </c>
      <c r="B155" s="29">
        <v>206300</v>
      </c>
      <c r="C155" s="29">
        <v>94700</v>
      </c>
      <c r="D155" s="29">
        <v>3000</v>
      </c>
      <c r="E155" s="29">
        <f>B155+C155+D155</f>
        <v>304000</v>
      </c>
      <c r="F155" s="30" t="s">
        <v>14</v>
      </c>
      <c r="G155" s="125">
        <v>35</v>
      </c>
      <c r="I155" s="14"/>
      <c r="J155" s="3"/>
      <c r="K155" s="9"/>
    </row>
    <row r="156" spans="1:12">
      <c r="A156" s="4" t="s">
        <v>5</v>
      </c>
      <c r="B156" s="29">
        <v>894600</v>
      </c>
      <c r="C156" s="29">
        <v>184100</v>
      </c>
      <c r="D156" s="29">
        <v>3000</v>
      </c>
      <c r="E156" s="29">
        <f>B156+C156+D156</f>
        <v>1081700</v>
      </c>
      <c r="F156" s="30" t="s">
        <v>14</v>
      </c>
      <c r="G156" s="125"/>
      <c r="I156" s="12"/>
      <c r="J156" s="3"/>
      <c r="K156" s="10"/>
    </row>
    <row r="157" spans="1:12">
      <c r="B157" s="23"/>
      <c r="C157" s="23"/>
      <c r="D157" s="23"/>
      <c r="E157" s="23"/>
      <c r="F157" s="23"/>
      <c r="G157" s="23"/>
      <c r="I157" s="12"/>
      <c r="J157" s="3"/>
      <c r="K157" s="12"/>
    </row>
    <row r="158" spans="1:12">
      <c r="A158" s="4" t="s">
        <v>1</v>
      </c>
      <c r="B158" s="72" t="s">
        <v>128</v>
      </c>
      <c r="C158" s="23"/>
      <c r="D158" s="23"/>
      <c r="E158" s="23"/>
      <c r="F158" s="23"/>
      <c r="G158" s="23"/>
      <c r="I158" s="14"/>
      <c r="J158" s="14"/>
      <c r="K158" s="2"/>
    </row>
    <row r="159" spans="1:12">
      <c r="A159" s="4" t="s">
        <v>3</v>
      </c>
      <c r="B159" s="28" t="s">
        <v>8</v>
      </c>
      <c r="C159" s="28" t="s">
        <v>7</v>
      </c>
      <c r="D159" s="28" t="s">
        <v>6</v>
      </c>
      <c r="E159" s="28" t="s">
        <v>10</v>
      </c>
      <c r="F159" s="28" t="s">
        <v>13</v>
      </c>
      <c r="G159" s="28" t="s">
        <v>15</v>
      </c>
      <c r="I159" s="57" t="s">
        <v>63</v>
      </c>
      <c r="J159" s="12">
        <f>G155+G160+G165</f>
        <v>45</v>
      </c>
      <c r="K159" s="3"/>
    </row>
    <row r="160" spans="1:12">
      <c r="A160" s="4" t="s">
        <v>4</v>
      </c>
      <c r="B160" s="29">
        <v>345400</v>
      </c>
      <c r="C160" s="29">
        <v>129000</v>
      </c>
      <c r="D160" s="29">
        <v>3000</v>
      </c>
      <c r="E160" s="29">
        <f>B160+C160+D160</f>
        <v>477400</v>
      </c>
      <c r="F160" s="30" t="s">
        <v>14</v>
      </c>
      <c r="G160" s="125">
        <v>10</v>
      </c>
      <c r="I160" s="54" t="s">
        <v>61</v>
      </c>
      <c r="J160" s="55">
        <f>(G155*100/(G155+G160+G165))^2+(G160*100/(G155+G160+G165))^2+(G165*100/(G155+G160+G165))^2</f>
        <v>6543.2098765432092</v>
      </c>
      <c r="K160" s="3"/>
      <c r="L160" s="9"/>
    </row>
    <row r="161" spans="1:12">
      <c r="A161" s="4" t="s">
        <v>5</v>
      </c>
      <c r="B161" s="29">
        <v>367000</v>
      </c>
      <c r="C161" s="29">
        <v>131800</v>
      </c>
      <c r="D161" s="29">
        <v>3000</v>
      </c>
      <c r="E161" s="29">
        <f>B161+C161+D161</f>
        <v>501800</v>
      </c>
      <c r="F161" s="30" t="s">
        <v>14</v>
      </c>
      <c r="G161" s="125"/>
      <c r="I161" s="13"/>
      <c r="J161" s="13"/>
      <c r="K161" s="3"/>
      <c r="L161" s="10"/>
    </row>
    <row r="162" spans="1:12">
      <c r="B162" s="23"/>
      <c r="C162" s="23"/>
      <c r="D162" s="23"/>
      <c r="E162" s="23"/>
      <c r="F162" s="23"/>
      <c r="G162" s="23"/>
      <c r="K162" s="3"/>
      <c r="L162" s="3"/>
    </row>
    <row r="163" spans="1:12">
      <c r="A163" s="4" t="s">
        <v>1</v>
      </c>
      <c r="B163" s="72"/>
      <c r="C163" s="23"/>
      <c r="D163" s="23"/>
      <c r="E163" s="23"/>
      <c r="F163" s="23"/>
      <c r="G163" s="23"/>
      <c r="K163" s="3"/>
      <c r="L163" s="3"/>
    </row>
    <row r="164" spans="1:12">
      <c r="A164" s="4" t="s">
        <v>3</v>
      </c>
      <c r="B164" s="28" t="s">
        <v>8</v>
      </c>
      <c r="C164" s="28" t="s">
        <v>7</v>
      </c>
      <c r="D164" s="28" t="s">
        <v>6</v>
      </c>
      <c r="E164" s="28" t="s">
        <v>10</v>
      </c>
      <c r="F164" s="28" t="s">
        <v>13</v>
      </c>
      <c r="G164" s="28" t="s">
        <v>15</v>
      </c>
      <c r="K164" s="3"/>
      <c r="L164" s="3"/>
    </row>
    <row r="165" spans="1:12">
      <c r="A165" s="4" t="s">
        <v>4</v>
      </c>
      <c r="B165" s="29"/>
      <c r="C165" s="29"/>
      <c r="D165" s="29"/>
      <c r="E165" s="29"/>
      <c r="F165" s="30" t="s">
        <v>14</v>
      </c>
      <c r="G165" s="125"/>
      <c r="K165" s="14"/>
      <c r="L165" s="3"/>
    </row>
    <row r="166" spans="1:12">
      <c r="A166" s="4" t="s">
        <v>5</v>
      </c>
      <c r="B166" s="29"/>
      <c r="C166" s="29"/>
      <c r="D166" s="29"/>
      <c r="E166" s="29"/>
      <c r="F166" s="30" t="s">
        <v>14</v>
      </c>
      <c r="G166" s="125"/>
      <c r="K166" s="12"/>
      <c r="L166" s="3"/>
    </row>
    <row r="168" spans="1:12" s="42" customFormat="1">
      <c r="B168" s="73" t="s">
        <v>8</v>
      </c>
      <c r="C168" s="73" t="s">
        <v>7</v>
      </c>
      <c r="D168" s="73" t="s">
        <v>6</v>
      </c>
      <c r="E168" s="73" t="s">
        <v>10</v>
      </c>
      <c r="I168" s="47"/>
      <c r="J168" s="11"/>
      <c r="K168" s="47"/>
    </row>
    <row r="169" spans="1:12" s="42" customFormat="1">
      <c r="A169" s="44" t="s">
        <v>19</v>
      </c>
      <c r="B169" s="46">
        <f>(((B155+B156)/2*$G$155+(B160+B161)/2*$G$160+(B165+B166)/2*$G$165))/($J$159)/$B$149</f>
        <v>1002.6353065190895</v>
      </c>
      <c r="C169" s="46">
        <f t="shared" ref="C169:D169" si="5">(((C155+C156)/2*$G$155+(C160+C161)/2*$G$160+(C165+C166)/2*$G$165))/($J$159)/$B$149</f>
        <v>271.56833679217317</v>
      </c>
      <c r="D169" s="46">
        <f t="shared" si="5"/>
        <v>5.929439667951379</v>
      </c>
      <c r="E169" s="46">
        <f>B169+C169+D169</f>
        <v>1280.1330829792139</v>
      </c>
      <c r="H169" s="61"/>
      <c r="I169" s="61"/>
    </row>
    <row r="172" spans="1:12" s="42" customFormat="1" ht="30">
      <c r="A172" s="74" t="s">
        <v>135</v>
      </c>
      <c r="B172" s="67" t="s">
        <v>78</v>
      </c>
      <c r="C172" s="67" t="s">
        <v>80</v>
      </c>
      <c r="D172" s="44" t="s">
        <v>81</v>
      </c>
      <c r="E172" s="67" t="s">
        <v>79</v>
      </c>
    </row>
    <row r="173" spans="1:12" s="42" customFormat="1">
      <c r="A173" s="56">
        <f>(J63*J64+J87*J88+J111*J112+J135*J136+J159*J160+J15*J16+J39*J40)/(J63+J87+J111+J135+J159+J15+J39)</f>
        <v>5706.0853847120979</v>
      </c>
      <c r="B173" s="63">
        <f>(B25*$J$15+B49*$J$39+B73*$J$63+B97*$J$87+B121*$J$111+B145*$J$135+B169*$J$159)/($J$15+$J$39+$J$63+$J$87+$J$111+$J$135+$J$159)</f>
        <v>708.96217877309812</v>
      </c>
      <c r="C173" s="63">
        <f t="shared" ref="C173:D173" si="6">(C25*$J$15+C49*$J$39+C73*$J$63+C97*$J$87+C121*$J$111+C145*$J$135+C169*$J$159)/($J$15+$J$39+$J$63+$J$87+$J$111+$J$135+$J$159)</f>
        <v>206.43860262369688</v>
      </c>
      <c r="D173" s="63">
        <f t="shared" si="6"/>
        <v>4.4069512173516845</v>
      </c>
      <c r="E173" s="63">
        <f>B173+C173+D173</f>
        <v>919.80773261414663</v>
      </c>
    </row>
    <row r="174" spans="1:12" s="42" customFormat="1"/>
    <row r="175" spans="1:12" s="42" customFormat="1">
      <c r="A175" s="44" t="s">
        <v>83</v>
      </c>
      <c r="B175" s="68">
        <f>C173/E173</f>
        <v>0.22443668965141927</v>
      </c>
    </row>
  </sheetData>
  <mergeCells count="28">
    <mergeCell ref="B148:C148"/>
    <mergeCell ref="G155:G156"/>
    <mergeCell ref="G160:G161"/>
    <mergeCell ref="G165:G166"/>
    <mergeCell ref="G112:G113"/>
    <mergeCell ref="G117:G118"/>
    <mergeCell ref="B124:C124"/>
    <mergeCell ref="G131:G132"/>
    <mergeCell ref="G136:G137"/>
    <mergeCell ref="G141:G142"/>
    <mergeCell ref="G107:G108"/>
    <mergeCell ref="G40:G41"/>
    <mergeCell ref="G45:G46"/>
    <mergeCell ref="B52:C52"/>
    <mergeCell ref="G59:G60"/>
    <mergeCell ref="G64:G65"/>
    <mergeCell ref="G69:G70"/>
    <mergeCell ref="B76:C76"/>
    <mergeCell ref="G83:G84"/>
    <mergeCell ref="G88:G89"/>
    <mergeCell ref="G93:G94"/>
    <mergeCell ref="B100:C100"/>
    <mergeCell ref="G35:G36"/>
    <mergeCell ref="B4:C4"/>
    <mergeCell ref="G11:G12"/>
    <mergeCell ref="G16:G17"/>
    <mergeCell ref="G21:G22"/>
    <mergeCell ref="B28:C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L175"/>
  <sheetViews>
    <sheetView topLeftCell="A157" workbookViewId="0">
      <selection activeCell="A175" sqref="A175"/>
    </sheetView>
  </sheetViews>
  <sheetFormatPr baseColWidth="10" defaultColWidth="11.42578125" defaultRowHeight="15"/>
  <cols>
    <col min="1" max="1" width="19.42578125" bestFit="1" customWidth="1"/>
    <col min="2" max="2" width="15.85546875" bestFit="1" customWidth="1"/>
    <col min="7" max="7" width="16.140625" bestFit="1" customWidth="1"/>
  </cols>
  <sheetData>
    <row r="4" spans="1:12">
      <c r="A4" t="s">
        <v>9</v>
      </c>
      <c r="B4" s="126" t="s">
        <v>126</v>
      </c>
      <c r="C4" s="127"/>
      <c r="D4" s="23"/>
      <c r="E4" s="23"/>
      <c r="F4" s="23"/>
      <c r="G4" s="23"/>
    </row>
    <row r="5" spans="1:12">
      <c r="A5" t="s">
        <v>18</v>
      </c>
      <c r="B5" s="23">
        <v>725.38</v>
      </c>
      <c r="C5" s="23"/>
      <c r="D5" s="23"/>
      <c r="E5" s="23"/>
      <c r="F5" s="23"/>
      <c r="G5" s="23"/>
    </row>
    <row r="6" spans="1:12">
      <c r="A6" t="s">
        <v>11</v>
      </c>
      <c r="B6" s="25">
        <v>43413</v>
      </c>
      <c r="C6" s="23"/>
      <c r="D6" s="23"/>
      <c r="E6" s="23"/>
      <c r="F6" s="23"/>
      <c r="G6" s="23"/>
    </row>
    <row r="7" spans="1:12">
      <c r="A7" t="s">
        <v>12</v>
      </c>
      <c r="B7" s="25">
        <v>43432</v>
      </c>
      <c r="C7" s="23"/>
      <c r="D7" s="23"/>
      <c r="E7" s="23"/>
      <c r="F7" s="23"/>
      <c r="G7" s="23"/>
    </row>
    <row r="8" spans="1:12">
      <c r="B8" s="23"/>
      <c r="C8" s="23"/>
      <c r="D8" s="23"/>
      <c r="E8" s="23"/>
      <c r="F8" s="23"/>
      <c r="G8" s="23"/>
    </row>
    <row r="9" spans="1:12">
      <c r="A9" s="4" t="s">
        <v>1</v>
      </c>
      <c r="B9" s="76" t="s">
        <v>127</v>
      </c>
      <c r="C9" s="23"/>
      <c r="D9" s="23"/>
      <c r="E9" s="23"/>
      <c r="F9" s="23"/>
      <c r="G9" s="23"/>
    </row>
    <row r="10" spans="1:12">
      <c r="A10" s="4" t="s">
        <v>3</v>
      </c>
      <c r="B10" s="28" t="s">
        <v>8</v>
      </c>
      <c r="C10" s="28" t="s">
        <v>7</v>
      </c>
      <c r="D10" s="28" t="s">
        <v>6</v>
      </c>
      <c r="E10" s="28" t="s">
        <v>10</v>
      </c>
      <c r="F10" s="28" t="s">
        <v>13</v>
      </c>
      <c r="G10" s="28" t="s">
        <v>15</v>
      </c>
    </row>
    <row r="11" spans="1:12">
      <c r="A11" s="4" t="s">
        <v>4</v>
      </c>
      <c r="B11" s="29">
        <v>313900</v>
      </c>
      <c r="C11" s="29">
        <v>108700</v>
      </c>
      <c r="D11" s="29">
        <v>3000</v>
      </c>
      <c r="E11" s="29">
        <f>B11+C11+D11</f>
        <v>425600</v>
      </c>
      <c r="F11" s="30" t="s">
        <v>14</v>
      </c>
      <c r="G11" s="125">
        <v>5</v>
      </c>
      <c r="K11" s="9"/>
    </row>
    <row r="12" spans="1:12">
      <c r="A12" s="4" t="s">
        <v>5</v>
      </c>
      <c r="B12" s="29">
        <v>735600</v>
      </c>
      <c r="C12" s="29">
        <v>163500</v>
      </c>
      <c r="D12" s="29">
        <v>3000</v>
      </c>
      <c r="E12" s="29">
        <f>B12+C12+D12</f>
        <v>902100</v>
      </c>
      <c r="F12" s="30" t="s">
        <v>14</v>
      </c>
      <c r="G12" s="125"/>
      <c r="K12" s="10"/>
    </row>
    <row r="13" spans="1:12">
      <c r="B13" s="23"/>
      <c r="C13" s="23"/>
      <c r="D13" s="23"/>
      <c r="E13" s="23"/>
      <c r="F13" s="23"/>
      <c r="G13" s="23"/>
      <c r="I13" s="3"/>
      <c r="J13" s="3"/>
      <c r="K13" s="12"/>
    </row>
    <row r="14" spans="1:12">
      <c r="A14" s="4" t="s">
        <v>1</v>
      </c>
      <c r="B14" s="76" t="s">
        <v>128</v>
      </c>
      <c r="C14" s="23"/>
      <c r="D14" s="23"/>
      <c r="E14" s="23"/>
      <c r="F14" s="23"/>
      <c r="G14" s="23"/>
      <c r="I14" s="3"/>
      <c r="J14" s="3"/>
      <c r="K14" s="2"/>
    </row>
    <row r="15" spans="1:12">
      <c r="A15" s="4" t="s">
        <v>3</v>
      </c>
      <c r="B15" s="28" t="s">
        <v>8</v>
      </c>
      <c r="C15" s="28" t="s">
        <v>7</v>
      </c>
      <c r="D15" s="28" t="s">
        <v>6</v>
      </c>
      <c r="E15" s="28" t="s">
        <v>10</v>
      </c>
      <c r="F15" s="28" t="s">
        <v>13</v>
      </c>
      <c r="G15" s="28" t="s">
        <v>15</v>
      </c>
      <c r="I15" s="57" t="s">
        <v>63</v>
      </c>
      <c r="J15" s="12">
        <f>G11+G16+G21</f>
        <v>8</v>
      </c>
      <c r="K15" s="3"/>
    </row>
    <row r="16" spans="1:12">
      <c r="A16" s="4" t="s">
        <v>4</v>
      </c>
      <c r="B16" s="29">
        <v>261200</v>
      </c>
      <c r="C16" s="29">
        <v>134400</v>
      </c>
      <c r="D16" s="29">
        <v>3000</v>
      </c>
      <c r="E16" s="29">
        <f>B16+C16+D16</f>
        <v>398600</v>
      </c>
      <c r="F16" s="30" t="s">
        <v>14</v>
      </c>
      <c r="G16" s="125">
        <v>3</v>
      </c>
      <c r="I16" s="54" t="s">
        <v>61</v>
      </c>
      <c r="J16" s="55">
        <f>(G11*100/(G11+G16+G21))^2+(G16*100/(G11+G16+G21))^2+(G21*100/(G11+G16+G21))^2</f>
        <v>5312.5</v>
      </c>
      <c r="K16" s="3"/>
      <c r="L16" s="9"/>
    </row>
    <row r="17" spans="1:12">
      <c r="A17" s="4" t="s">
        <v>5</v>
      </c>
      <c r="B17" s="29">
        <v>479300</v>
      </c>
      <c r="C17" s="29">
        <v>162700</v>
      </c>
      <c r="D17" s="29">
        <v>3000</v>
      </c>
      <c r="E17" s="29">
        <f>B17+C17+D17</f>
        <v>645000</v>
      </c>
      <c r="F17" s="30" t="s">
        <v>14</v>
      </c>
      <c r="G17" s="125"/>
      <c r="L17" s="10"/>
    </row>
    <row r="18" spans="1:12">
      <c r="B18" s="23"/>
      <c r="C18" s="23"/>
      <c r="D18" s="23"/>
      <c r="E18" s="23"/>
      <c r="F18" s="23"/>
      <c r="G18" s="23"/>
      <c r="K18" s="3"/>
      <c r="L18" s="3"/>
    </row>
    <row r="19" spans="1:12">
      <c r="A19" s="4" t="s">
        <v>1</v>
      </c>
      <c r="B19" s="76"/>
      <c r="C19" s="23"/>
      <c r="D19" s="23"/>
      <c r="E19" s="23"/>
      <c r="F19" s="23"/>
      <c r="G19" s="23"/>
      <c r="K19" s="3"/>
      <c r="L19" s="3"/>
    </row>
    <row r="20" spans="1:12">
      <c r="A20" s="4" t="s">
        <v>3</v>
      </c>
      <c r="B20" s="28" t="s">
        <v>8</v>
      </c>
      <c r="C20" s="28" t="s">
        <v>7</v>
      </c>
      <c r="D20" s="28" t="s">
        <v>6</v>
      </c>
      <c r="E20" s="28" t="s">
        <v>10</v>
      </c>
      <c r="F20" s="28" t="s">
        <v>13</v>
      </c>
      <c r="G20" s="28" t="s">
        <v>15</v>
      </c>
      <c r="K20" s="3"/>
      <c r="L20" s="3"/>
    </row>
    <row r="21" spans="1:12">
      <c r="A21" s="4" t="s">
        <v>4</v>
      </c>
      <c r="B21" s="29"/>
      <c r="C21" s="29"/>
      <c r="D21" s="29"/>
      <c r="E21" s="29"/>
      <c r="F21" s="30" t="s">
        <v>14</v>
      </c>
      <c r="G21" s="125"/>
      <c r="K21" s="14"/>
      <c r="L21" s="3"/>
    </row>
    <row r="22" spans="1:12">
      <c r="A22" s="4" t="s">
        <v>5</v>
      </c>
      <c r="B22" s="29"/>
      <c r="C22" s="29"/>
      <c r="D22" s="29"/>
      <c r="E22" s="29"/>
      <c r="F22" s="30" t="s">
        <v>14</v>
      </c>
      <c r="G22" s="125"/>
      <c r="K22" s="12"/>
      <c r="L22" s="3"/>
    </row>
    <row r="24" spans="1:12" s="42" customFormat="1">
      <c r="B24" s="78" t="s">
        <v>8</v>
      </c>
      <c r="C24" s="78" t="s">
        <v>7</v>
      </c>
      <c r="D24" s="78" t="s">
        <v>6</v>
      </c>
      <c r="E24" s="78" t="s">
        <v>10</v>
      </c>
      <c r="I24" s="47"/>
      <c r="J24" s="11"/>
      <c r="K24" s="47"/>
    </row>
    <row r="25" spans="1:12" s="42" customFormat="1">
      <c r="A25" s="44" t="s">
        <v>19</v>
      </c>
      <c r="B25" s="46">
        <f>(((B11+B12)/2*$G$11+(B16+B17)/2*$G$16+(B21+B22)/2*$G$21))/($G$11+$G$16+$G$21)/$B$5</f>
        <v>643.54200556949456</v>
      </c>
      <c r="C25" s="46">
        <f>(((C11+C12)/2*$G$11+(C16+C17)/2*$G$16+(C21+C22)/2*$G$21)/($G$11+$G$16+$G$21))/$B$5</f>
        <v>194.06207780749401</v>
      </c>
      <c r="D25" s="46">
        <f>(((D11+D12)/2*$G$11+(D16+D17)/2*$G$16+(D21+D22)/2*$G$21)/($G$11+$G$16+$G$21))/$B$5</f>
        <v>4.135763324050842</v>
      </c>
      <c r="E25" s="46">
        <f>(((E11+E12)/2*$G$11+(E16+E17)/2*$G$16+(E21+E22)/2*$G$21)/($G$11+$G$16+$G$21))/$B$5</f>
        <v>841.73984670103948</v>
      </c>
      <c r="H25" s="61"/>
      <c r="I25" s="61"/>
    </row>
    <row r="28" spans="1:12">
      <c r="A28" t="s">
        <v>9</v>
      </c>
      <c r="B28" s="126" t="s">
        <v>129</v>
      </c>
      <c r="C28" s="127"/>
      <c r="D28" s="23"/>
      <c r="E28" s="23"/>
      <c r="F28" s="23"/>
      <c r="G28" s="23"/>
    </row>
    <row r="29" spans="1:12">
      <c r="A29" t="s">
        <v>18</v>
      </c>
      <c r="B29" s="23">
        <v>1287.67</v>
      </c>
      <c r="C29" s="23"/>
      <c r="D29" s="23"/>
      <c r="E29" s="23"/>
      <c r="F29" s="23"/>
      <c r="G29" s="23"/>
    </row>
    <row r="30" spans="1:12">
      <c r="A30" t="s">
        <v>11</v>
      </c>
      <c r="B30" s="25">
        <v>43413</v>
      </c>
      <c r="C30" s="23"/>
      <c r="D30" s="23"/>
      <c r="E30" s="23"/>
      <c r="F30" s="23"/>
      <c r="G30" s="23"/>
    </row>
    <row r="31" spans="1:12">
      <c r="A31" t="s">
        <v>12</v>
      </c>
      <c r="B31" s="25">
        <v>43432</v>
      </c>
      <c r="C31" s="23"/>
      <c r="D31" s="23"/>
      <c r="E31" s="23"/>
      <c r="F31" s="23"/>
      <c r="G31" s="23"/>
    </row>
    <row r="32" spans="1:12">
      <c r="B32" s="23"/>
      <c r="C32" s="23"/>
      <c r="D32" s="23"/>
      <c r="E32" s="23"/>
      <c r="F32" s="23"/>
      <c r="G32" s="23"/>
    </row>
    <row r="33" spans="1:12">
      <c r="A33" s="4" t="s">
        <v>1</v>
      </c>
      <c r="B33" s="76" t="s">
        <v>127</v>
      </c>
      <c r="C33" s="23"/>
      <c r="D33" s="23"/>
      <c r="E33" s="23"/>
      <c r="F33" s="23"/>
      <c r="G33" s="23"/>
    </row>
    <row r="34" spans="1:12">
      <c r="A34" s="4" t="s">
        <v>3</v>
      </c>
      <c r="B34" s="28" t="s">
        <v>8</v>
      </c>
      <c r="C34" s="28" t="s">
        <v>7</v>
      </c>
      <c r="D34" s="28" t="s">
        <v>6</v>
      </c>
      <c r="E34" s="28" t="s">
        <v>10</v>
      </c>
      <c r="F34" s="28" t="s">
        <v>13</v>
      </c>
      <c r="G34" s="28" t="s">
        <v>15</v>
      </c>
    </row>
    <row r="35" spans="1:12">
      <c r="A35" s="4" t="s">
        <v>4</v>
      </c>
      <c r="B35" s="29">
        <v>460100</v>
      </c>
      <c r="C35" s="29">
        <v>127700</v>
      </c>
      <c r="D35" s="29">
        <v>3000</v>
      </c>
      <c r="E35" s="29">
        <f>B35+C35+D35</f>
        <v>590800</v>
      </c>
      <c r="F35" s="30" t="s">
        <v>14</v>
      </c>
      <c r="G35" s="125">
        <v>7</v>
      </c>
    </row>
    <row r="36" spans="1:12">
      <c r="A36" s="4" t="s">
        <v>5</v>
      </c>
      <c r="B36" s="29">
        <v>460100</v>
      </c>
      <c r="C36" s="29">
        <v>127700</v>
      </c>
      <c r="D36" s="29">
        <v>3000</v>
      </c>
      <c r="E36" s="29">
        <f>B36+C36+D36</f>
        <v>590800</v>
      </c>
      <c r="F36" s="30" t="s">
        <v>14</v>
      </c>
      <c r="G36" s="125"/>
    </row>
    <row r="37" spans="1:12">
      <c r="B37" s="23"/>
      <c r="C37" s="23"/>
      <c r="D37" s="23"/>
      <c r="E37" s="23"/>
      <c r="F37" s="23"/>
      <c r="G37" s="23"/>
      <c r="K37" s="82"/>
    </row>
    <row r="38" spans="1:12">
      <c r="A38" s="4" t="s">
        <v>1</v>
      </c>
      <c r="B38" s="76" t="s">
        <v>128</v>
      </c>
      <c r="C38" s="23"/>
      <c r="D38" s="23"/>
      <c r="E38" s="23"/>
      <c r="F38" s="23"/>
      <c r="G38" s="23"/>
      <c r="K38" s="2"/>
    </row>
    <row r="39" spans="1:12">
      <c r="A39" s="4" t="s">
        <v>3</v>
      </c>
      <c r="B39" s="28" t="s">
        <v>8</v>
      </c>
      <c r="C39" s="28" t="s">
        <v>7</v>
      </c>
      <c r="D39" s="28" t="s">
        <v>6</v>
      </c>
      <c r="E39" s="28" t="s">
        <v>10</v>
      </c>
      <c r="F39" s="28" t="s">
        <v>13</v>
      </c>
      <c r="G39" s="28" t="s">
        <v>15</v>
      </c>
      <c r="I39" s="57" t="s">
        <v>63</v>
      </c>
      <c r="J39" s="12">
        <f>G35+G40+G45</f>
        <v>11</v>
      </c>
      <c r="K39" s="3"/>
    </row>
    <row r="40" spans="1:12">
      <c r="A40" s="4" t="s">
        <v>4</v>
      </c>
      <c r="B40" s="29">
        <v>461100</v>
      </c>
      <c r="C40" s="29">
        <v>127700</v>
      </c>
      <c r="D40" s="29">
        <v>3000</v>
      </c>
      <c r="E40" s="29">
        <f>B40+C40+D40</f>
        <v>591800</v>
      </c>
      <c r="F40" s="30" t="s">
        <v>14</v>
      </c>
      <c r="G40" s="125">
        <v>4</v>
      </c>
      <c r="I40" s="54" t="s">
        <v>61</v>
      </c>
      <c r="J40" s="55">
        <f>(G35*100/(G35+G40+G45))^2+(G40*100/(G35+G40+G45))^2+(G45*100/(G35+G40+G45))^2</f>
        <v>5371.9008264462809</v>
      </c>
      <c r="L40" s="9"/>
    </row>
    <row r="41" spans="1:12">
      <c r="A41" s="4" t="s">
        <v>5</v>
      </c>
      <c r="B41" s="29">
        <v>440900</v>
      </c>
      <c r="C41" s="29">
        <v>174000</v>
      </c>
      <c r="D41" s="29">
        <v>3000</v>
      </c>
      <c r="E41" s="29">
        <f>B41+C41+D41</f>
        <v>617900</v>
      </c>
      <c r="F41" s="30" t="s">
        <v>14</v>
      </c>
      <c r="G41" s="125"/>
      <c r="L41" s="10"/>
    </row>
    <row r="42" spans="1:12">
      <c r="B42" s="23"/>
      <c r="C42" s="23"/>
      <c r="D42" s="23"/>
      <c r="E42" s="23"/>
      <c r="F42" s="23"/>
      <c r="G42" s="23"/>
      <c r="K42" s="3"/>
      <c r="L42" s="3"/>
    </row>
    <row r="43" spans="1:12">
      <c r="A43" s="4" t="s">
        <v>1</v>
      </c>
      <c r="B43" s="76"/>
      <c r="C43" s="23"/>
      <c r="D43" s="23"/>
      <c r="E43" s="23"/>
      <c r="F43" s="23"/>
      <c r="G43" s="23"/>
      <c r="K43" s="3"/>
      <c r="L43" s="3"/>
    </row>
    <row r="44" spans="1:12">
      <c r="A44" s="4" t="s">
        <v>3</v>
      </c>
      <c r="B44" s="28" t="s">
        <v>8</v>
      </c>
      <c r="C44" s="28" t="s">
        <v>7</v>
      </c>
      <c r="D44" s="28" t="s">
        <v>6</v>
      </c>
      <c r="E44" s="28" t="s">
        <v>10</v>
      </c>
      <c r="F44" s="28" t="s">
        <v>13</v>
      </c>
      <c r="G44" s="28" t="s">
        <v>15</v>
      </c>
      <c r="K44" s="3"/>
      <c r="L44" s="3"/>
    </row>
    <row r="45" spans="1:12">
      <c r="A45" s="4" t="s">
        <v>4</v>
      </c>
      <c r="B45" s="29"/>
      <c r="C45" s="29"/>
      <c r="D45" s="29"/>
      <c r="E45" s="29">
        <f>B45+C45+D45</f>
        <v>0</v>
      </c>
      <c r="F45" s="30" t="s">
        <v>14</v>
      </c>
      <c r="G45" s="125"/>
      <c r="K45" s="14"/>
      <c r="L45" s="3"/>
    </row>
    <row r="46" spans="1:12">
      <c r="A46" s="4" t="s">
        <v>5</v>
      </c>
      <c r="B46" s="29"/>
      <c r="C46" s="29"/>
      <c r="D46" s="29"/>
      <c r="E46" s="29">
        <f>B46+C46+D46</f>
        <v>0</v>
      </c>
      <c r="F46" s="30" t="s">
        <v>14</v>
      </c>
      <c r="G46" s="125"/>
      <c r="K46" s="12"/>
      <c r="L46" s="3"/>
    </row>
    <row r="48" spans="1:12" s="42" customFormat="1">
      <c r="B48" s="78" t="s">
        <v>8</v>
      </c>
      <c r="C48" s="78" t="s">
        <v>7</v>
      </c>
      <c r="D48" s="78" t="s">
        <v>6</v>
      </c>
      <c r="E48" s="78" t="s">
        <v>10</v>
      </c>
      <c r="I48" s="47"/>
      <c r="J48" s="11"/>
      <c r="K48" s="47"/>
    </row>
    <row r="49" spans="1:12" s="42" customFormat="1">
      <c r="A49" s="44" t="s">
        <v>19</v>
      </c>
      <c r="B49" s="46">
        <f>(((B35+B36)/2*$G$35+(B40+B41)/2*$G$40+(B45+B46)/2*$G$45))/($J$39)/$B$29</f>
        <v>354.7422158556999</v>
      </c>
      <c r="C49" s="46">
        <f t="shared" ref="C49:D49" si="0">(((C35+C36)/2*$G$35+(C40+C41)/2*$G$40+(C45+C46)/2*$G$45))/($J$39)/$B$29</f>
        <v>105.70890198434523</v>
      </c>
      <c r="D49" s="46">
        <f t="shared" si="0"/>
        <v>2.3297894646920407</v>
      </c>
      <c r="E49" s="46">
        <f>B49+C49+D49</f>
        <v>462.78090730473718</v>
      </c>
      <c r="H49" s="61"/>
      <c r="I49" s="61"/>
    </row>
    <row r="52" spans="1:12">
      <c r="A52" t="s">
        <v>9</v>
      </c>
      <c r="B52" s="126" t="s">
        <v>130</v>
      </c>
      <c r="C52" s="127"/>
      <c r="D52" s="23"/>
      <c r="E52" s="23"/>
      <c r="F52" s="23"/>
      <c r="G52" s="23"/>
    </row>
    <row r="53" spans="1:12">
      <c r="A53" t="s">
        <v>18</v>
      </c>
      <c r="B53" s="23">
        <v>1502.47</v>
      </c>
      <c r="C53" s="23"/>
      <c r="D53" s="23"/>
      <c r="E53" s="23"/>
      <c r="F53" s="23"/>
      <c r="G53" s="23"/>
    </row>
    <row r="54" spans="1:12">
      <c r="A54" t="s">
        <v>11</v>
      </c>
      <c r="B54" s="25">
        <v>43413</v>
      </c>
      <c r="C54" s="23"/>
      <c r="D54" s="23"/>
      <c r="E54" s="23"/>
      <c r="F54" s="23"/>
      <c r="G54" s="23"/>
    </row>
    <row r="55" spans="1:12">
      <c r="A55" t="s">
        <v>12</v>
      </c>
      <c r="B55" s="25">
        <v>43432</v>
      </c>
      <c r="C55" s="23"/>
      <c r="D55" s="23"/>
      <c r="E55" s="23"/>
      <c r="F55" s="23"/>
      <c r="G55" s="23"/>
    </row>
    <row r="56" spans="1:12">
      <c r="B56" s="23"/>
      <c r="C56" s="23"/>
      <c r="D56" s="23"/>
      <c r="E56" s="23"/>
      <c r="F56" s="23"/>
      <c r="G56" s="23"/>
    </row>
    <row r="57" spans="1:12">
      <c r="A57" s="4" t="s">
        <v>1</v>
      </c>
      <c r="B57" s="76" t="s">
        <v>127</v>
      </c>
      <c r="C57" s="23"/>
      <c r="D57" s="23"/>
      <c r="E57" s="23"/>
      <c r="F57" s="23"/>
      <c r="G57" s="23"/>
    </row>
    <row r="58" spans="1:12">
      <c r="A58" s="4" t="s">
        <v>3</v>
      </c>
      <c r="B58" s="28" t="s">
        <v>8</v>
      </c>
      <c r="C58" s="28" t="s">
        <v>7</v>
      </c>
      <c r="D58" s="28" t="s">
        <v>6</v>
      </c>
      <c r="E58" s="28" t="s">
        <v>10</v>
      </c>
      <c r="F58" s="28" t="s">
        <v>13</v>
      </c>
      <c r="G58" s="28" t="s">
        <v>15</v>
      </c>
    </row>
    <row r="59" spans="1:12">
      <c r="A59" s="4" t="s">
        <v>4</v>
      </c>
      <c r="B59" s="29">
        <v>270800</v>
      </c>
      <c r="C59" s="29">
        <v>103100</v>
      </c>
      <c r="D59" s="29">
        <v>3000</v>
      </c>
      <c r="E59" s="29">
        <f>B59+C59+D59</f>
        <v>376900</v>
      </c>
      <c r="F59" s="30" t="s">
        <v>14</v>
      </c>
      <c r="G59" s="125">
        <v>7</v>
      </c>
    </row>
    <row r="60" spans="1:12">
      <c r="A60" s="4" t="s">
        <v>5</v>
      </c>
      <c r="B60" s="29">
        <v>553500</v>
      </c>
      <c r="C60" s="29">
        <v>139800</v>
      </c>
      <c r="D60" s="29">
        <v>3000</v>
      </c>
      <c r="E60" s="29">
        <f>B60+C60+D60</f>
        <v>696300</v>
      </c>
      <c r="F60" s="30" t="s">
        <v>14</v>
      </c>
      <c r="G60" s="125"/>
    </row>
    <row r="61" spans="1:12">
      <c r="B61" s="23"/>
      <c r="C61" s="23"/>
      <c r="D61" s="23"/>
      <c r="E61" s="23"/>
      <c r="F61" s="23"/>
      <c r="G61" s="23"/>
      <c r="K61" s="82"/>
    </row>
    <row r="62" spans="1:12">
      <c r="A62" s="4" t="s">
        <v>1</v>
      </c>
      <c r="B62" s="76" t="s">
        <v>128</v>
      </c>
      <c r="C62" s="23"/>
      <c r="D62" s="23"/>
      <c r="E62" s="23"/>
      <c r="F62" s="23"/>
      <c r="G62" s="23"/>
      <c r="K62" s="2"/>
    </row>
    <row r="63" spans="1:12">
      <c r="A63" s="4" t="s">
        <v>3</v>
      </c>
      <c r="B63" s="28" t="s">
        <v>8</v>
      </c>
      <c r="C63" s="28" t="s">
        <v>7</v>
      </c>
      <c r="D63" s="28" t="s">
        <v>6</v>
      </c>
      <c r="E63" s="28" t="s">
        <v>10</v>
      </c>
      <c r="F63" s="28" t="s">
        <v>13</v>
      </c>
      <c r="G63" s="28" t="s">
        <v>15</v>
      </c>
      <c r="I63" s="57" t="s">
        <v>63</v>
      </c>
      <c r="J63" s="12">
        <f>G59+G64+G69</f>
        <v>12</v>
      </c>
      <c r="K63" s="3"/>
    </row>
    <row r="64" spans="1:12">
      <c r="A64" s="4" t="s">
        <v>4</v>
      </c>
      <c r="B64" s="29">
        <v>191700</v>
      </c>
      <c r="C64" s="29">
        <v>155100</v>
      </c>
      <c r="D64" s="29">
        <v>3000</v>
      </c>
      <c r="E64" s="29">
        <f>B64+C64+D64</f>
        <v>349800</v>
      </c>
      <c r="F64" s="30" t="s">
        <v>14</v>
      </c>
      <c r="G64" s="125">
        <v>5</v>
      </c>
      <c r="I64" s="54" t="s">
        <v>61</v>
      </c>
      <c r="J64" s="55">
        <f>(G59*100/(G59+G64+G69))^2+(G64*100/(G59+G64+G69))^2+(G69*100/(G59+G64+G69))^2</f>
        <v>5138.8888888888887</v>
      </c>
      <c r="L64" s="9"/>
    </row>
    <row r="65" spans="1:12">
      <c r="A65" s="4" t="s">
        <v>5</v>
      </c>
      <c r="B65" s="29">
        <v>421800</v>
      </c>
      <c r="C65" s="29">
        <v>185100</v>
      </c>
      <c r="D65" s="29">
        <v>3000</v>
      </c>
      <c r="E65" s="29">
        <f>B65+C65+D65</f>
        <v>609900</v>
      </c>
      <c r="F65" s="30" t="s">
        <v>14</v>
      </c>
      <c r="G65" s="125"/>
      <c r="L65" s="10"/>
    </row>
    <row r="66" spans="1:12">
      <c r="B66" s="23"/>
      <c r="C66" s="23">
        <v>17</v>
      </c>
      <c r="D66" s="23"/>
      <c r="E66" s="23"/>
      <c r="F66" s="23"/>
      <c r="G66" s="23"/>
      <c r="K66" s="3"/>
      <c r="L66" s="3"/>
    </row>
    <row r="67" spans="1:12">
      <c r="A67" s="4" t="s">
        <v>1</v>
      </c>
      <c r="B67" s="76"/>
      <c r="C67" s="23"/>
      <c r="D67" s="23"/>
      <c r="E67" s="23"/>
      <c r="F67" s="23"/>
      <c r="G67" s="23"/>
      <c r="K67" s="3"/>
      <c r="L67" s="3"/>
    </row>
    <row r="68" spans="1:12">
      <c r="A68" s="4" t="s">
        <v>3</v>
      </c>
      <c r="B68" s="28" t="s">
        <v>8</v>
      </c>
      <c r="C68" s="28" t="s">
        <v>7</v>
      </c>
      <c r="D68" s="28" t="s">
        <v>6</v>
      </c>
      <c r="E68" s="28" t="s">
        <v>10</v>
      </c>
      <c r="F68" s="28" t="s">
        <v>13</v>
      </c>
      <c r="G68" s="28" t="s">
        <v>15</v>
      </c>
      <c r="K68" s="3"/>
      <c r="L68" s="3"/>
    </row>
    <row r="69" spans="1:12">
      <c r="A69" s="4" t="s">
        <v>4</v>
      </c>
      <c r="B69" s="29"/>
      <c r="C69" s="29"/>
      <c r="D69" s="29"/>
      <c r="E69" s="29"/>
      <c r="F69" s="30" t="s">
        <v>14</v>
      </c>
      <c r="G69" s="125"/>
      <c r="K69" s="14"/>
      <c r="L69" s="3"/>
    </row>
    <row r="70" spans="1:12">
      <c r="A70" s="4" t="s">
        <v>5</v>
      </c>
      <c r="B70" s="29"/>
      <c r="C70" s="29"/>
      <c r="D70" s="29"/>
      <c r="E70" s="29"/>
      <c r="F70" s="30" t="s">
        <v>14</v>
      </c>
      <c r="G70" s="125"/>
      <c r="K70" s="12"/>
      <c r="L70" s="3"/>
    </row>
    <row r="72" spans="1:12" s="42" customFormat="1">
      <c r="B72" s="78" t="s">
        <v>8</v>
      </c>
      <c r="C72" s="78" t="s">
        <v>7</v>
      </c>
      <c r="D72" s="78" t="s">
        <v>6</v>
      </c>
      <c r="E72" s="78" t="s">
        <v>10</v>
      </c>
      <c r="I72" s="47"/>
      <c r="J72" s="11"/>
      <c r="K72" s="47"/>
    </row>
    <row r="73" spans="1:12" s="42" customFormat="1">
      <c r="A73" s="44" t="s">
        <v>19</v>
      </c>
      <c r="B73" s="46">
        <f>(((B59+B60)/2*$G$59+(B64+B65)/2*$G$64+(B69+B70)/2*$G$69))/($J$63)/$B$53</f>
        <v>245.08531507007348</v>
      </c>
      <c r="C73" s="46">
        <f t="shared" ref="C73:D73" si="1">(((C59+C60)/2*$G$59+(C64+C65)/2*$G$64+(C69+C70)/2*$G$69))/($J$63)/$B$53</f>
        <v>94.32523333799233</v>
      </c>
      <c r="D73" s="46">
        <f t="shared" si="1"/>
        <v>1.9967120807736594</v>
      </c>
      <c r="E73" s="46">
        <f>B73+C73+D73</f>
        <v>341.40726048883943</v>
      </c>
      <c r="H73" s="61"/>
      <c r="I73" s="61"/>
    </row>
    <row r="76" spans="1:12">
      <c r="A76" t="s">
        <v>9</v>
      </c>
      <c r="B76" s="126" t="s">
        <v>131</v>
      </c>
      <c r="C76" s="127"/>
      <c r="D76" s="23"/>
      <c r="E76" s="23"/>
      <c r="F76" s="23"/>
      <c r="G76" s="23"/>
    </row>
    <row r="77" spans="1:12">
      <c r="A77" t="s">
        <v>18</v>
      </c>
      <c r="B77" s="23">
        <v>3344.97</v>
      </c>
      <c r="C77" s="23"/>
      <c r="D77" s="23"/>
      <c r="E77" s="23"/>
      <c r="F77" s="23"/>
      <c r="G77" s="23"/>
    </row>
    <row r="78" spans="1:12">
      <c r="A78" t="s">
        <v>11</v>
      </c>
      <c r="B78" s="25">
        <v>43413</v>
      </c>
      <c r="C78" s="23"/>
      <c r="D78" s="23"/>
      <c r="E78" s="23"/>
      <c r="F78" s="23"/>
      <c r="G78" s="23"/>
    </row>
    <row r="79" spans="1:12">
      <c r="A79" t="s">
        <v>12</v>
      </c>
      <c r="B79" s="25">
        <v>43432</v>
      </c>
      <c r="C79" s="23"/>
      <c r="D79" s="23"/>
      <c r="E79" s="23"/>
      <c r="F79" s="23"/>
      <c r="G79" s="23"/>
    </row>
    <row r="80" spans="1:12">
      <c r="B80" s="23"/>
      <c r="C80" s="23"/>
      <c r="D80" s="23"/>
      <c r="E80" s="23"/>
      <c r="F80" s="23"/>
      <c r="G80" s="23"/>
    </row>
    <row r="81" spans="1:12">
      <c r="A81" s="4" t="s">
        <v>1</v>
      </c>
      <c r="B81" s="76" t="s">
        <v>127</v>
      </c>
      <c r="C81" s="23"/>
      <c r="D81" s="23"/>
      <c r="E81" s="23"/>
      <c r="F81" s="23"/>
      <c r="G81" s="23"/>
    </row>
    <row r="82" spans="1:12">
      <c r="A82" s="4" t="s">
        <v>3</v>
      </c>
      <c r="B82" s="28" t="s">
        <v>8</v>
      </c>
      <c r="C82" s="28" t="s">
        <v>7</v>
      </c>
      <c r="D82" s="28" t="s">
        <v>6</v>
      </c>
      <c r="E82" s="28" t="s">
        <v>10</v>
      </c>
      <c r="F82" s="28" t="s">
        <v>13</v>
      </c>
      <c r="G82" s="28" t="s">
        <v>15</v>
      </c>
    </row>
    <row r="83" spans="1:12">
      <c r="A83" s="4" t="s">
        <v>4</v>
      </c>
      <c r="B83" s="29">
        <v>603300</v>
      </c>
      <c r="C83" s="29">
        <v>146700</v>
      </c>
      <c r="D83" s="29">
        <v>3000</v>
      </c>
      <c r="E83" s="29">
        <f>B83+C83+D83</f>
        <v>753000</v>
      </c>
      <c r="F83" s="30" t="s">
        <v>14</v>
      </c>
      <c r="G83" s="125">
        <v>11</v>
      </c>
    </row>
    <row r="84" spans="1:12">
      <c r="A84" s="4" t="s">
        <v>5</v>
      </c>
      <c r="B84" s="29">
        <v>980000</v>
      </c>
      <c r="C84" s="29">
        <v>195200</v>
      </c>
      <c r="D84" s="29">
        <v>3000</v>
      </c>
      <c r="E84" s="29">
        <f>B84+C84+D84</f>
        <v>1178200</v>
      </c>
      <c r="F84" s="30" t="s">
        <v>14</v>
      </c>
      <c r="G84" s="125"/>
    </row>
    <row r="85" spans="1:12">
      <c r="B85" s="23"/>
      <c r="C85" s="23"/>
      <c r="D85" s="23"/>
      <c r="E85" s="23"/>
      <c r="F85" s="23"/>
      <c r="G85" s="23"/>
      <c r="K85" s="82"/>
    </row>
    <row r="86" spans="1:12">
      <c r="A86" s="4" t="s">
        <v>1</v>
      </c>
      <c r="B86" s="76" t="s">
        <v>128</v>
      </c>
      <c r="C86" s="23"/>
      <c r="D86" s="23"/>
      <c r="E86" s="23"/>
      <c r="F86" s="23"/>
      <c r="G86" s="23"/>
      <c r="K86" s="2"/>
    </row>
    <row r="87" spans="1:12">
      <c r="A87" s="4" t="s">
        <v>3</v>
      </c>
      <c r="B87" s="28" t="s">
        <v>8</v>
      </c>
      <c r="C87" s="28" t="s">
        <v>7</v>
      </c>
      <c r="D87" s="28" t="s">
        <v>6</v>
      </c>
      <c r="E87" s="28" t="s">
        <v>10</v>
      </c>
      <c r="F87" s="28" t="s">
        <v>13</v>
      </c>
      <c r="G87" s="28" t="s">
        <v>15</v>
      </c>
      <c r="I87" s="57" t="s">
        <v>63</v>
      </c>
      <c r="J87" s="12">
        <f>G83+G88+G93</f>
        <v>17</v>
      </c>
      <c r="K87" s="3"/>
    </row>
    <row r="88" spans="1:12">
      <c r="A88" s="4" t="s">
        <v>4</v>
      </c>
      <c r="B88" s="29">
        <v>479700</v>
      </c>
      <c r="C88" s="29">
        <v>192600</v>
      </c>
      <c r="D88" s="29">
        <v>3000</v>
      </c>
      <c r="E88" s="29">
        <f>B88+C88+D88</f>
        <v>675300</v>
      </c>
      <c r="F88" s="30" t="s">
        <v>14</v>
      </c>
      <c r="G88" s="125">
        <v>6</v>
      </c>
      <c r="I88" s="54" t="s">
        <v>61</v>
      </c>
      <c r="J88" s="55">
        <f>(G83*100/(G83+G88+G93))^2+(G88*100/(G83+G88+G93))^2+(G93*100/(G83+G88+G93))^2</f>
        <v>5432.5259515570933</v>
      </c>
      <c r="L88" s="9"/>
    </row>
    <row r="89" spans="1:12">
      <c r="A89" s="4" t="s">
        <v>5</v>
      </c>
      <c r="B89" s="29">
        <v>742800</v>
      </c>
      <c r="C89" s="29">
        <v>213200</v>
      </c>
      <c r="D89" s="29">
        <v>3000</v>
      </c>
      <c r="E89" s="29">
        <f>B89+C89+D89</f>
        <v>959000</v>
      </c>
      <c r="F89" s="30" t="s">
        <v>14</v>
      </c>
      <c r="G89" s="125"/>
      <c r="L89" s="10"/>
    </row>
    <row r="90" spans="1:12">
      <c r="B90" s="23"/>
      <c r="C90" s="23"/>
      <c r="D90" s="23"/>
      <c r="E90" s="23"/>
      <c r="F90" s="23"/>
      <c r="G90" s="23"/>
      <c r="K90" s="3"/>
      <c r="L90" s="3"/>
    </row>
    <row r="91" spans="1:12">
      <c r="A91" s="4" t="s">
        <v>1</v>
      </c>
      <c r="B91" s="76"/>
      <c r="C91" s="23"/>
      <c r="D91" s="23"/>
      <c r="E91" s="23"/>
      <c r="F91" s="23"/>
      <c r="G91" s="23"/>
      <c r="K91" s="3"/>
      <c r="L91" s="3"/>
    </row>
    <row r="92" spans="1:12">
      <c r="A92" s="4" t="s">
        <v>3</v>
      </c>
      <c r="B92" s="28" t="s">
        <v>8</v>
      </c>
      <c r="C92" s="28" t="s">
        <v>7</v>
      </c>
      <c r="D92" s="28" t="s">
        <v>6</v>
      </c>
      <c r="E92" s="28" t="s">
        <v>10</v>
      </c>
      <c r="F92" s="28" t="s">
        <v>13</v>
      </c>
      <c r="G92" s="28" t="s">
        <v>15</v>
      </c>
      <c r="K92" s="3"/>
      <c r="L92" s="3"/>
    </row>
    <row r="93" spans="1:12">
      <c r="A93" s="4" t="s">
        <v>4</v>
      </c>
      <c r="B93" s="29"/>
      <c r="C93" s="29"/>
      <c r="D93" s="29"/>
      <c r="E93" s="29">
        <f>B93+C93+D93</f>
        <v>0</v>
      </c>
      <c r="F93" s="30" t="s">
        <v>14</v>
      </c>
      <c r="G93" s="125"/>
      <c r="K93" s="14"/>
      <c r="L93" s="3"/>
    </row>
    <row r="94" spans="1:12">
      <c r="A94" s="4" t="s">
        <v>5</v>
      </c>
      <c r="B94" s="29"/>
      <c r="C94" s="29"/>
      <c r="D94" s="29"/>
      <c r="E94" s="29">
        <f>B94+C94+D94</f>
        <v>0</v>
      </c>
      <c r="F94" s="30" t="s">
        <v>14</v>
      </c>
      <c r="G94" s="125"/>
      <c r="K94" s="12"/>
      <c r="L94" s="3"/>
    </row>
    <row r="96" spans="1:12" s="42" customFormat="1">
      <c r="B96" s="78" t="s">
        <v>8</v>
      </c>
      <c r="C96" s="78" t="s">
        <v>7</v>
      </c>
      <c r="D96" s="78" t="s">
        <v>6</v>
      </c>
      <c r="E96" s="78" t="s">
        <v>10</v>
      </c>
      <c r="I96" s="47"/>
      <c r="J96" s="11"/>
      <c r="K96" s="47"/>
    </row>
    <row r="97" spans="1:12" s="42" customFormat="1">
      <c r="A97" s="44" t="s">
        <v>19</v>
      </c>
      <c r="B97" s="46">
        <f>(((B83+B84)/2*$G$83+(B88+B89)/2*$G$88+(B93+B94)/2*$G$93))/($J$87)/$B$77</f>
        <v>217.63406301542494</v>
      </c>
      <c r="C97" s="46">
        <f t="shared" ref="C97:D97" si="2">(((C83+C84)/2*$G$83+(C88+C89)/2*$G$88+(C93+C94)/2*$G$93))/($J$87)/$B$77</f>
        <v>54.477759318689053</v>
      </c>
      <c r="D97" s="46">
        <f t="shared" si="2"/>
        <v>0.89686903021551767</v>
      </c>
      <c r="E97" s="46">
        <f>B97+C97+D97</f>
        <v>273.00869136432948</v>
      </c>
      <c r="H97" s="61"/>
      <c r="I97" s="61"/>
    </row>
    <row r="100" spans="1:12">
      <c r="A100" t="s">
        <v>9</v>
      </c>
      <c r="B100" s="126" t="s">
        <v>132</v>
      </c>
      <c r="C100" s="127"/>
      <c r="D100" s="23"/>
      <c r="E100" s="23"/>
      <c r="F100" s="23"/>
      <c r="G100" s="23"/>
    </row>
    <row r="101" spans="1:12">
      <c r="A101" t="s">
        <v>18</v>
      </c>
      <c r="B101" s="23">
        <v>2688.15</v>
      </c>
      <c r="C101" s="23"/>
      <c r="D101" s="23"/>
      <c r="E101" s="23"/>
      <c r="F101" s="23"/>
      <c r="G101" s="23"/>
    </row>
    <row r="102" spans="1:12">
      <c r="A102" t="s">
        <v>11</v>
      </c>
      <c r="B102" s="25">
        <v>43413</v>
      </c>
      <c r="C102" s="23"/>
      <c r="D102" s="23"/>
      <c r="E102" s="23"/>
      <c r="F102" s="23"/>
      <c r="G102" s="23"/>
    </row>
    <row r="103" spans="1:12">
      <c r="A103" t="s">
        <v>12</v>
      </c>
      <c r="B103" s="25">
        <v>43432</v>
      </c>
      <c r="C103" s="23"/>
      <c r="D103" s="23"/>
      <c r="E103" s="23"/>
      <c r="F103" s="23"/>
      <c r="G103" s="23"/>
    </row>
    <row r="104" spans="1:12">
      <c r="B104" s="23"/>
      <c r="C104" s="23"/>
      <c r="D104" s="23"/>
      <c r="E104" s="23"/>
      <c r="F104" s="23"/>
      <c r="G104" s="23"/>
    </row>
    <row r="105" spans="1:12">
      <c r="A105" s="4" t="s">
        <v>1</v>
      </c>
      <c r="B105" s="76" t="s">
        <v>127</v>
      </c>
      <c r="C105" s="23"/>
      <c r="D105" s="23"/>
      <c r="E105" s="23"/>
      <c r="F105" s="23"/>
      <c r="G105" s="23"/>
    </row>
    <row r="106" spans="1:12">
      <c r="A106" s="4" t="s">
        <v>3</v>
      </c>
      <c r="B106" s="28" t="s">
        <v>8</v>
      </c>
      <c r="C106" s="28" t="s">
        <v>7</v>
      </c>
      <c r="D106" s="28" t="s">
        <v>6</v>
      </c>
      <c r="E106" s="28" t="s">
        <v>10</v>
      </c>
      <c r="F106" s="28" t="s">
        <v>13</v>
      </c>
      <c r="G106" s="28" t="s">
        <v>15</v>
      </c>
    </row>
    <row r="107" spans="1:12">
      <c r="A107" s="4" t="s">
        <v>4</v>
      </c>
      <c r="B107" s="29">
        <v>333100</v>
      </c>
      <c r="C107" s="29">
        <v>111200</v>
      </c>
      <c r="D107" s="29">
        <v>3000</v>
      </c>
      <c r="E107" s="29">
        <f>B107+C107+D107</f>
        <v>447300</v>
      </c>
      <c r="F107" s="30" t="s">
        <v>14</v>
      </c>
      <c r="G107" s="125">
        <v>8</v>
      </c>
    </row>
    <row r="108" spans="1:12">
      <c r="A108" s="4" t="s">
        <v>5</v>
      </c>
      <c r="B108" s="29">
        <v>685300</v>
      </c>
      <c r="C108" s="29">
        <v>156900</v>
      </c>
      <c r="D108" s="29">
        <v>3000</v>
      </c>
      <c r="E108" s="29">
        <f>B108+C108+D108</f>
        <v>845200</v>
      </c>
      <c r="F108" s="30" t="s">
        <v>14</v>
      </c>
      <c r="G108" s="125"/>
    </row>
    <row r="109" spans="1:12">
      <c r="B109" s="23"/>
      <c r="C109" s="23"/>
      <c r="D109" s="23"/>
      <c r="E109" s="23"/>
      <c r="F109" s="23"/>
      <c r="G109" s="23"/>
      <c r="K109" s="82"/>
    </row>
    <row r="110" spans="1:12">
      <c r="A110" s="4" t="s">
        <v>1</v>
      </c>
      <c r="B110" s="76" t="s">
        <v>128</v>
      </c>
      <c r="C110" s="23"/>
      <c r="D110" s="23"/>
      <c r="E110" s="23"/>
      <c r="F110" s="23"/>
      <c r="G110" s="23"/>
      <c r="K110" s="2"/>
    </row>
    <row r="111" spans="1:12">
      <c r="A111" s="4" t="s">
        <v>3</v>
      </c>
      <c r="B111" s="28" t="s">
        <v>8</v>
      </c>
      <c r="C111" s="28" t="s">
        <v>7</v>
      </c>
      <c r="D111" s="28" t="s">
        <v>6</v>
      </c>
      <c r="E111" s="28" t="s">
        <v>10</v>
      </c>
      <c r="F111" s="28" t="s">
        <v>13</v>
      </c>
      <c r="G111" s="28" t="s">
        <v>15</v>
      </c>
      <c r="I111" s="57" t="s">
        <v>63</v>
      </c>
      <c r="J111" s="12">
        <f>G107+G112+G117</f>
        <v>19</v>
      </c>
      <c r="K111" s="3"/>
    </row>
    <row r="112" spans="1:12">
      <c r="A112" s="4" t="s">
        <v>4</v>
      </c>
      <c r="B112" s="29">
        <v>231300</v>
      </c>
      <c r="C112" s="29">
        <v>186300</v>
      </c>
      <c r="D112" s="29">
        <v>3000</v>
      </c>
      <c r="E112" s="29">
        <f>B112+C112+D112</f>
        <v>420600</v>
      </c>
      <c r="F112" s="30" t="s">
        <v>14</v>
      </c>
      <c r="G112" s="125">
        <v>11</v>
      </c>
      <c r="I112" s="54" t="s">
        <v>61</v>
      </c>
      <c r="J112" s="55">
        <f>(G107*100/(G107+G112+G117))^2+(G112*100/(G107+G112+G117))^2+(G117*100/(G107+G112+G117))^2</f>
        <v>5124.6537396121885</v>
      </c>
      <c r="L112" s="9"/>
    </row>
    <row r="113" spans="1:12">
      <c r="A113" s="4" t="s">
        <v>5</v>
      </c>
      <c r="B113" s="29">
        <v>553500</v>
      </c>
      <c r="C113" s="29">
        <v>202200</v>
      </c>
      <c r="D113" s="29">
        <v>3000</v>
      </c>
      <c r="E113" s="29">
        <f>B113+C113+D113</f>
        <v>758700</v>
      </c>
      <c r="F113" s="30" t="s">
        <v>14</v>
      </c>
      <c r="G113" s="125"/>
      <c r="L113" s="10"/>
    </row>
    <row r="114" spans="1:12">
      <c r="B114" s="23"/>
      <c r="C114" s="23"/>
      <c r="D114" s="23"/>
      <c r="E114" s="23"/>
      <c r="F114" s="23"/>
      <c r="G114" s="23"/>
      <c r="K114" s="3"/>
      <c r="L114" s="3"/>
    </row>
    <row r="115" spans="1:12">
      <c r="A115" s="4" t="s">
        <v>1</v>
      </c>
      <c r="B115" s="76"/>
      <c r="C115" s="23"/>
      <c r="D115" s="23"/>
      <c r="E115" s="23"/>
      <c r="F115" s="23"/>
      <c r="G115" s="23"/>
      <c r="K115" s="3"/>
      <c r="L115" s="3"/>
    </row>
    <row r="116" spans="1:12">
      <c r="A116" s="4" t="s">
        <v>3</v>
      </c>
      <c r="B116" s="28" t="s">
        <v>8</v>
      </c>
      <c r="C116" s="28" t="s">
        <v>7</v>
      </c>
      <c r="D116" s="28" t="s">
        <v>6</v>
      </c>
      <c r="E116" s="28" t="s">
        <v>10</v>
      </c>
      <c r="F116" s="28" t="s">
        <v>13</v>
      </c>
      <c r="G116" s="28" t="s">
        <v>15</v>
      </c>
      <c r="K116" s="3"/>
      <c r="L116" s="3"/>
    </row>
    <row r="117" spans="1:12">
      <c r="A117" s="4" t="s">
        <v>4</v>
      </c>
      <c r="B117" s="29"/>
      <c r="C117" s="29"/>
      <c r="D117" s="29"/>
      <c r="E117" s="29"/>
      <c r="F117" s="30" t="s">
        <v>14</v>
      </c>
      <c r="G117" s="125"/>
      <c r="K117" s="14"/>
      <c r="L117" s="3"/>
    </row>
    <row r="118" spans="1:12">
      <c r="A118" s="4" t="s">
        <v>5</v>
      </c>
      <c r="B118" s="29"/>
      <c r="C118" s="29"/>
      <c r="D118" s="29"/>
      <c r="E118" s="29"/>
      <c r="F118" s="30" t="s">
        <v>14</v>
      </c>
      <c r="G118" s="125"/>
      <c r="K118" s="12"/>
      <c r="L118" s="3"/>
    </row>
    <row r="120" spans="1:12" s="42" customFormat="1">
      <c r="B120" s="78" t="s">
        <v>8</v>
      </c>
      <c r="C120" s="78" t="s">
        <v>7</v>
      </c>
      <c r="D120" s="78" t="s">
        <v>6</v>
      </c>
      <c r="E120" s="78" t="s">
        <v>10</v>
      </c>
      <c r="I120" s="47"/>
      <c r="J120" s="11"/>
      <c r="K120" s="47"/>
    </row>
    <row r="121" spans="1:12" s="42" customFormat="1">
      <c r="A121" s="44" t="s">
        <v>19</v>
      </c>
      <c r="B121" s="46">
        <f>(((B107+B108)/2*$G$107+(B112+B113)/2*$G$112+(B117+B118)/2*$G$117))/($J$111)/$B$101</f>
        <v>164.26871542451912</v>
      </c>
      <c r="C121" s="46">
        <f t="shared" ref="C121:D121" si="3">(((C107+C108)/2*$G$107+(C112+C113)/2*$G$112+(C117+C118)/2*$G$117))/($J$111)/$B$101</f>
        <v>62.832294172180625</v>
      </c>
      <c r="D121" s="46">
        <f t="shared" si="3"/>
        <v>1.1160091512750405</v>
      </c>
      <c r="E121" s="46">
        <f>B121+C121+D121</f>
        <v>228.21701874797478</v>
      </c>
      <c r="H121" s="61"/>
      <c r="I121" s="61"/>
    </row>
    <row r="124" spans="1:12">
      <c r="A124" t="s">
        <v>9</v>
      </c>
      <c r="B124" s="126" t="s">
        <v>133</v>
      </c>
      <c r="C124" s="127"/>
      <c r="D124" s="23"/>
      <c r="E124" s="23"/>
      <c r="F124" s="23"/>
      <c r="G124" s="23"/>
    </row>
    <row r="125" spans="1:12">
      <c r="A125" t="s">
        <v>18</v>
      </c>
      <c r="B125" s="23">
        <v>363.6</v>
      </c>
      <c r="C125" s="23"/>
      <c r="D125" s="23"/>
      <c r="E125" s="23"/>
      <c r="F125" s="23"/>
      <c r="G125" s="23"/>
    </row>
    <row r="126" spans="1:12">
      <c r="A126" t="s">
        <v>11</v>
      </c>
      <c r="B126" s="25">
        <v>43413</v>
      </c>
      <c r="C126" s="23"/>
      <c r="D126" s="23"/>
      <c r="E126" s="23"/>
      <c r="F126" s="23"/>
      <c r="G126" s="23"/>
    </row>
    <row r="127" spans="1:12">
      <c r="A127" t="s">
        <v>12</v>
      </c>
      <c r="B127" s="25">
        <v>43432</v>
      </c>
      <c r="C127" s="23"/>
      <c r="D127" s="23"/>
      <c r="E127" s="23"/>
      <c r="F127" s="23"/>
      <c r="G127" s="23"/>
    </row>
    <row r="128" spans="1:12">
      <c r="B128" s="23"/>
      <c r="C128" s="23"/>
      <c r="D128" s="23"/>
      <c r="E128" s="23"/>
      <c r="F128" s="23"/>
      <c r="G128" s="23"/>
    </row>
    <row r="129" spans="1:12">
      <c r="A129" s="4" t="s">
        <v>1</v>
      </c>
      <c r="B129" s="76" t="s">
        <v>127</v>
      </c>
      <c r="C129" s="23"/>
      <c r="D129" s="23"/>
      <c r="E129" s="23"/>
      <c r="F129" s="23"/>
      <c r="G129" s="23"/>
    </row>
    <row r="130" spans="1:12">
      <c r="A130" s="4" t="s">
        <v>3</v>
      </c>
      <c r="B130" s="28" t="s">
        <v>8</v>
      </c>
      <c r="C130" s="28" t="s">
        <v>7</v>
      </c>
      <c r="D130" s="28" t="s">
        <v>6</v>
      </c>
      <c r="E130" s="28" t="s">
        <v>10</v>
      </c>
      <c r="F130" s="28" t="s">
        <v>13</v>
      </c>
      <c r="G130" s="28" t="s">
        <v>15</v>
      </c>
    </row>
    <row r="131" spans="1:12">
      <c r="A131" s="4" t="s">
        <v>4</v>
      </c>
      <c r="B131" s="29">
        <v>429300</v>
      </c>
      <c r="C131" s="29">
        <v>123700</v>
      </c>
      <c r="D131" s="29">
        <v>3000</v>
      </c>
      <c r="E131" s="29">
        <f>B131+C131+D131</f>
        <v>556000</v>
      </c>
      <c r="F131" s="30" t="s">
        <v>14</v>
      </c>
      <c r="G131" s="125">
        <v>18</v>
      </c>
      <c r="I131" s="14"/>
      <c r="J131" s="3"/>
      <c r="K131" s="9"/>
    </row>
    <row r="132" spans="1:12">
      <c r="A132" s="4" t="s">
        <v>5</v>
      </c>
      <c r="B132" s="29">
        <v>638000</v>
      </c>
      <c r="C132" s="29">
        <v>150800</v>
      </c>
      <c r="D132" s="29">
        <v>3000</v>
      </c>
      <c r="E132" s="29">
        <f>B132+C132+D132</f>
        <v>791800</v>
      </c>
      <c r="F132" s="30" t="s">
        <v>14</v>
      </c>
      <c r="G132" s="125"/>
      <c r="I132" s="12"/>
      <c r="J132" s="3"/>
      <c r="K132" s="10"/>
    </row>
    <row r="133" spans="1:12">
      <c r="B133" s="23"/>
      <c r="C133" s="23"/>
      <c r="D133" s="23"/>
      <c r="E133" s="23"/>
      <c r="F133" s="23"/>
      <c r="G133" s="23"/>
      <c r="I133" s="12"/>
      <c r="J133" s="3"/>
      <c r="K133" s="12"/>
    </row>
    <row r="134" spans="1:12">
      <c r="A134" s="4" t="s">
        <v>1</v>
      </c>
      <c r="B134" s="76" t="s">
        <v>128</v>
      </c>
      <c r="C134" s="23"/>
      <c r="D134" s="23"/>
      <c r="E134" s="23"/>
      <c r="F134" s="23"/>
      <c r="G134" s="23"/>
      <c r="I134" s="13"/>
      <c r="J134" s="3"/>
      <c r="K134" s="2"/>
    </row>
    <row r="135" spans="1:12">
      <c r="A135" s="4" t="s">
        <v>3</v>
      </c>
      <c r="B135" s="28" t="s">
        <v>8</v>
      </c>
      <c r="C135" s="28" t="s">
        <v>7</v>
      </c>
      <c r="D135" s="28" t="s">
        <v>6</v>
      </c>
      <c r="E135" s="28" t="s">
        <v>10</v>
      </c>
      <c r="F135" s="28" t="s">
        <v>13</v>
      </c>
      <c r="G135" s="28" t="s">
        <v>15</v>
      </c>
      <c r="I135" s="57" t="s">
        <v>63</v>
      </c>
      <c r="J135" s="12">
        <f>G131+G136+G141</f>
        <v>28</v>
      </c>
      <c r="K135" s="3"/>
    </row>
    <row r="136" spans="1:12">
      <c r="A136" s="4" t="s">
        <v>4</v>
      </c>
      <c r="B136" s="29">
        <v>323800</v>
      </c>
      <c r="C136" s="29">
        <v>142500</v>
      </c>
      <c r="D136" s="29">
        <v>3000</v>
      </c>
      <c r="E136" s="29">
        <f>B136+C136+D136</f>
        <v>469300</v>
      </c>
      <c r="F136" s="30" t="s">
        <v>14</v>
      </c>
      <c r="G136" s="125">
        <v>10</v>
      </c>
      <c r="I136" s="54" t="s">
        <v>61</v>
      </c>
      <c r="J136" s="55">
        <f>(G131*100/(G131+G136+G141))^2+(G136*100/(G131+G136+G141))^2+(G141*100/(G131+G136+G141))^2</f>
        <v>5408.1632653061233</v>
      </c>
      <c r="K136" s="3"/>
      <c r="L136" s="9"/>
    </row>
    <row r="137" spans="1:12">
      <c r="A137" s="4" t="s">
        <v>5</v>
      </c>
      <c r="B137" s="29">
        <v>323800</v>
      </c>
      <c r="C137" s="29">
        <v>142500</v>
      </c>
      <c r="D137" s="29">
        <v>3000</v>
      </c>
      <c r="E137" s="29">
        <f>B137+C137+D137</f>
        <v>469300</v>
      </c>
      <c r="F137" s="30" t="s">
        <v>14</v>
      </c>
      <c r="G137" s="125"/>
      <c r="I137" s="12"/>
      <c r="J137" s="3"/>
      <c r="L137" s="10"/>
    </row>
    <row r="138" spans="1:12">
      <c r="B138" s="23"/>
      <c r="C138" s="23"/>
      <c r="D138" s="23"/>
      <c r="E138" s="23"/>
      <c r="F138" s="23"/>
      <c r="G138" s="23"/>
      <c r="I138" s="13"/>
      <c r="J138" s="3"/>
      <c r="K138" s="3"/>
      <c r="L138" s="3"/>
    </row>
    <row r="139" spans="1:12">
      <c r="A139" s="4" t="s">
        <v>1</v>
      </c>
      <c r="B139" s="76"/>
      <c r="C139" s="23"/>
      <c r="D139" s="23"/>
      <c r="E139" s="23"/>
      <c r="F139" s="23"/>
      <c r="G139" s="23"/>
      <c r="K139" s="3"/>
      <c r="L139" s="3"/>
    </row>
    <row r="140" spans="1:12">
      <c r="A140" s="4" t="s">
        <v>3</v>
      </c>
      <c r="B140" s="28" t="s">
        <v>8</v>
      </c>
      <c r="C140" s="28" t="s">
        <v>7</v>
      </c>
      <c r="D140" s="28" t="s">
        <v>6</v>
      </c>
      <c r="E140" s="28" t="s">
        <v>10</v>
      </c>
      <c r="F140" s="28" t="s">
        <v>13</v>
      </c>
      <c r="G140" s="28" t="s">
        <v>15</v>
      </c>
      <c r="K140" s="3"/>
      <c r="L140" s="3"/>
    </row>
    <row r="141" spans="1:12">
      <c r="A141" s="4" t="s">
        <v>4</v>
      </c>
      <c r="B141" s="29"/>
      <c r="C141" s="29"/>
      <c r="D141" s="29"/>
      <c r="E141" s="29"/>
      <c r="F141" s="30" t="s">
        <v>14</v>
      </c>
      <c r="G141" s="125"/>
      <c r="K141" s="14"/>
      <c r="L141" s="3"/>
    </row>
    <row r="142" spans="1:12">
      <c r="A142" s="4" t="s">
        <v>5</v>
      </c>
      <c r="B142" s="29"/>
      <c r="C142" s="29"/>
      <c r="D142" s="29"/>
      <c r="E142" s="29"/>
      <c r="F142" s="30" t="s">
        <v>14</v>
      </c>
      <c r="G142" s="125"/>
      <c r="K142" s="12"/>
      <c r="L142" s="3"/>
    </row>
    <row r="144" spans="1:12" s="42" customFormat="1">
      <c r="B144" s="78" t="s">
        <v>8</v>
      </c>
      <c r="C144" s="78" t="s">
        <v>7</v>
      </c>
      <c r="D144" s="78" t="s">
        <v>6</v>
      </c>
      <c r="E144" s="78" t="s">
        <v>10</v>
      </c>
      <c r="I144" s="47"/>
      <c r="J144" s="11"/>
      <c r="K144" s="47"/>
    </row>
    <row r="145" spans="1:12" s="42" customFormat="1">
      <c r="A145" s="44" t="s">
        <v>19</v>
      </c>
      <c r="B145" s="46">
        <f>(((B131+B132)/2*$G$131+(B136+B137)/2*$G$136+(B141+B142)/2*$G$141))/($J$135)/$B$125</f>
        <v>1261.560977526324</v>
      </c>
      <c r="C145" s="46">
        <f t="shared" ref="C145:D145" si="4">(((C131+C132)/2*$G$131+(C136+C137)/2*$G$136+(C141+C142)/2*$G$141))/($J$135)/$B$125</f>
        <v>382.63201320132009</v>
      </c>
      <c r="D145" s="46">
        <f t="shared" si="4"/>
        <v>8.2508250825082499</v>
      </c>
      <c r="E145" s="46">
        <f>B145+C145+D145</f>
        <v>1652.4438158101523</v>
      </c>
      <c r="H145" s="61"/>
      <c r="I145" s="61"/>
    </row>
    <row r="148" spans="1:12">
      <c r="A148" t="s">
        <v>9</v>
      </c>
      <c r="B148" s="126" t="s">
        <v>134</v>
      </c>
      <c r="C148" s="127"/>
      <c r="D148" s="23"/>
      <c r="E148" s="23"/>
      <c r="F148" s="23"/>
      <c r="G148" s="23"/>
    </row>
    <row r="149" spans="1:12">
      <c r="A149" t="s">
        <v>18</v>
      </c>
      <c r="B149" s="23">
        <v>505.95</v>
      </c>
      <c r="C149" s="23"/>
      <c r="D149" s="23"/>
      <c r="E149" s="23"/>
      <c r="F149" s="23"/>
      <c r="G149" s="23"/>
    </row>
    <row r="150" spans="1:12">
      <c r="A150" t="s">
        <v>11</v>
      </c>
      <c r="B150" s="25">
        <v>43413</v>
      </c>
      <c r="C150" s="23"/>
      <c r="D150" s="23"/>
      <c r="E150" s="23"/>
      <c r="F150" s="23"/>
      <c r="G150" s="23"/>
    </row>
    <row r="151" spans="1:12">
      <c r="A151" t="s">
        <v>12</v>
      </c>
      <c r="B151" s="25">
        <v>43432</v>
      </c>
      <c r="C151" s="23"/>
      <c r="D151" s="23"/>
      <c r="E151" s="23"/>
      <c r="F151" s="23"/>
      <c r="G151" s="23"/>
    </row>
    <row r="152" spans="1:12">
      <c r="B152" s="23"/>
      <c r="C152" s="23"/>
      <c r="D152" s="23"/>
      <c r="E152" s="23"/>
      <c r="F152" s="23"/>
      <c r="G152" s="23"/>
    </row>
    <row r="153" spans="1:12">
      <c r="A153" s="4" t="s">
        <v>1</v>
      </c>
      <c r="B153" s="76" t="s">
        <v>127</v>
      </c>
      <c r="C153" s="23"/>
      <c r="D153" s="23"/>
      <c r="E153" s="23"/>
      <c r="F153" s="23"/>
      <c r="G153" s="23"/>
    </row>
    <row r="154" spans="1:12">
      <c r="A154" s="4" t="s">
        <v>3</v>
      </c>
      <c r="B154" s="28" t="s">
        <v>8</v>
      </c>
      <c r="C154" s="28" t="s">
        <v>7</v>
      </c>
      <c r="D154" s="28" t="s">
        <v>6</v>
      </c>
      <c r="E154" s="28" t="s">
        <v>10</v>
      </c>
      <c r="F154" s="28" t="s">
        <v>13</v>
      </c>
      <c r="G154" s="28" t="s">
        <v>15</v>
      </c>
    </row>
    <row r="155" spans="1:12">
      <c r="A155" s="4" t="s">
        <v>4</v>
      </c>
      <c r="B155" s="29">
        <v>206300</v>
      </c>
      <c r="C155" s="29">
        <v>94700</v>
      </c>
      <c r="D155" s="29">
        <v>3000</v>
      </c>
      <c r="E155" s="29">
        <f>B155+C155+D155</f>
        <v>304000</v>
      </c>
      <c r="F155" s="30" t="s">
        <v>14</v>
      </c>
      <c r="G155" s="125">
        <v>35</v>
      </c>
      <c r="I155" s="14"/>
      <c r="J155" s="3"/>
      <c r="K155" s="9"/>
    </row>
    <row r="156" spans="1:12">
      <c r="A156" s="4" t="s">
        <v>5</v>
      </c>
      <c r="B156" s="29">
        <v>894600</v>
      </c>
      <c r="C156" s="29">
        <v>184100</v>
      </c>
      <c r="D156" s="29">
        <v>3000</v>
      </c>
      <c r="E156" s="29">
        <f>B156+C156+D156</f>
        <v>1081700</v>
      </c>
      <c r="F156" s="30" t="s">
        <v>14</v>
      </c>
      <c r="G156" s="125"/>
      <c r="I156" s="12"/>
      <c r="J156" s="3"/>
      <c r="K156" s="10"/>
    </row>
    <row r="157" spans="1:12">
      <c r="B157" s="23"/>
      <c r="C157" s="23"/>
      <c r="D157" s="23"/>
      <c r="E157" s="23"/>
      <c r="F157" s="23"/>
      <c r="G157" s="23"/>
      <c r="I157" s="12"/>
      <c r="J157" s="3"/>
      <c r="K157" s="12"/>
    </row>
    <row r="158" spans="1:12">
      <c r="A158" s="4" t="s">
        <v>1</v>
      </c>
      <c r="B158" s="76" t="s">
        <v>128</v>
      </c>
      <c r="C158" s="23"/>
      <c r="D158" s="23"/>
      <c r="E158" s="23"/>
      <c r="F158" s="23"/>
      <c r="G158" s="23"/>
      <c r="I158" s="14"/>
      <c r="J158" s="14"/>
      <c r="K158" s="2"/>
    </row>
    <row r="159" spans="1:12">
      <c r="A159" s="4" t="s">
        <v>3</v>
      </c>
      <c r="B159" s="28" t="s">
        <v>8</v>
      </c>
      <c r="C159" s="28" t="s">
        <v>7</v>
      </c>
      <c r="D159" s="28" t="s">
        <v>6</v>
      </c>
      <c r="E159" s="28" t="s">
        <v>10</v>
      </c>
      <c r="F159" s="28" t="s">
        <v>13</v>
      </c>
      <c r="G159" s="28" t="s">
        <v>15</v>
      </c>
      <c r="I159" s="57" t="s">
        <v>63</v>
      </c>
      <c r="J159" s="12">
        <f>G155+G160+G165</f>
        <v>45</v>
      </c>
      <c r="K159" s="3"/>
    </row>
    <row r="160" spans="1:12">
      <c r="A160" s="4" t="s">
        <v>4</v>
      </c>
      <c r="B160" s="29">
        <v>345400</v>
      </c>
      <c r="C160" s="29">
        <v>129000</v>
      </c>
      <c r="D160" s="29">
        <v>3000</v>
      </c>
      <c r="E160" s="29">
        <f>B160+C160+D160</f>
        <v>477400</v>
      </c>
      <c r="F160" s="30" t="s">
        <v>14</v>
      </c>
      <c r="G160" s="125">
        <v>10</v>
      </c>
      <c r="I160" s="54" t="s">
        <v>61</v>
      </c>
      <c r="J160" s="55">
        <f>(G155*100/(G155+G160+G165))^2+(G160*100/(G155+G160+G165))^2+(G165*100/(G155+G160+G165))^2</f>
        <v>6543.2098765432092</v>
      </c>
      <c r="K160" s="3"/>
      <c r="L160" s="9"/>
    </row>
    <row r="161" spans="1:12">
      <c r="A161" s="4" t="s">
        <v>5</v>
      </c>
      <c r="B161" s="29">
        <v>367000</v>
      </c>
      <c r="C161" s="29">
        <v>131800</v>
      </c>
      <c r="D161" s="29">
        <v>3000</v>
      </c>
      <c r="E161" s="29">
        <f>B161+C161+D161</f>
        <v>501800</v>
      </c>
      <c r="F161" s="30" t="s">
        <v>14</v>
      </c>
      <c r="G161" s="125"/>
      <c r="I161" s="13"/>
      <c r="J161" s="13"/>
      <c r="K161" s="3"/>
      <c r="L161" s="10"/>
    </row>
    <row r="162" spans="1:12">
      <c r="B162" s="23"/>
      <c r="C162" s="23"/>
      <c r="D162" s="23"/>
      <c r="E162" s="23"/>
      <c r="F162" s="23"/>
      <c r="G162" s="23"/>
      <c r="K162" s="3"/>
      <c r="L162" s="3"/>
    </row>
    <row r="163" spans="1:12">
      <c r="A163" s="4" t="s">
        <v>1</v>
      </c>
      <c r="B163" s="76"/>
      <c r="C163" s="23"/>
      <c r="D163" s="23"/>
      <c r="E163" s="23"/>
      <c r="F163" s="23"/>
      <c r="G163" s="23"/>
      <c r="K163" s="3"/>
      <c r="L163" s="3"/>
    </row>
    <row r="164" spans="1:12">
      <c r="A164" s="4" t="s">
        <v>3</v>
      </c>
      <c r="B164" s="28" t="s">
        <v>8</v>
      </c>
      <c r="C164" s="28" t="s">
        <v>7</v>
      </c>
      <c r="D164" s="28" t="s">
        <v>6</v>
      </c>
      <c r="E164" s="28" t="s">
        <v>10</v>
      </c>
      <c r="F164" s="28" t="s">
        <v>13</v>
      </c>
      <c r="G164" s="28" t="s">
        <v>15</v>
      </c>
      <c r="K164" s="3"/>
      <c r="L164" s="3"/>
    </row>
    <row r="165" spans="1:12">
      <c r="A165" s="4" t="s">
        <v>4</v>
      </c>
      <c r="B165" s="29"/>
      <c r="C165" s="29"/>
      <c r="D165" s="29"/>
      <c r="E165" s="29"/>
      <c r="F165" s="30" t="s">
        <v>14</v>
      </c>
      <c r="G165" s="125"/>
      <c r="K165" s="14"/>
      <c r="L165" s="3"/>
    </row>
    <row r="166" spans="1:12">
      <c r="A166" s="4" t="s">
        <v>5</v>
      </c>
      <c r="B166" s="29"/>
      <c r="C166" s="29"/>
      <c r="D166" s="29"/>
      <c r="E166" s="29"/>
      <c r="F166" s="30" t="s">
        <v>14</v>
      </c>
      <c r="G166" s="125"/>
      <c r="K166" s="12"/>
      <c r="L166" s="3"/>
    </row>
    <row r="168" spans="1:12" s="42" customFormat="1">
      <c r="B168" s="78" t="s">
        <v>8</v>
      </c>
      <c r="C168" s="78" t="s">
        <v>7</v>
      </c>
      <c r="D168" s="78" t="s">
        <v>6</v>
      </c>
      <c r="E168" s="78" t="s">
        <v>10</v>
      </c>
      <c r="I168" s="47"/>
      <c r="J168" s="11"/>
      <c r="K168" s="47"/>
    </row>
    <row r="169" spans="1:12" s="42" customFormat="1">
      <c r="A169" s="44" t="s">
        <v>19</v>
      </c>
      <c r="B169" s="46">
        <f>(((B155+B156)/2*$G$155+(B160+B161)/2*$G$160+(B165+B166)/2*$G$165))/($J$159)/$B$149</f>
        <v>1002.6353065190895</v>
      </c>
      <c r="C169" s="46">
        <f t="shared" ref="C169:D169" si="5">(((C155+C156)/2*$G$155+(C160+C161)/2*$G$160+(C165+C166)/2*$G$165))/($J$159)/$B$149</f>
        <v>271.56833679217317</v>
      </c>
      <c r="D169" s="46">
        <f t="shared" si="5"/>
        <v>5.929439667951379</v>
      </c>
      <c r="E169" s="46">
        <f>B169+C169+D169</f>
        <v>1280.1330829792139</v>
      </c>
      <c r="H169" s="61"/>
      <c r="I169" s="61"/>
    </row>
    <row r="172" spans="1:12" s="42" customFormat="1" ht="30">
      <c r="A172" s="77" t="s">
        <v>135</v>
      </c>
      <c r="B172" s="67" t="s">
        <v>78</v>
      </c>
      <c r="C172" s="67" t="s">
        <v>80</v>
      </c>
      <c r="D172" s="44" t="s">
        <v>81</v>
      </c>
      <c r="E172" s="67" t="s">
        <v>79</v>
      </c>
    </row>
    <row r="173" spans="1:12" s="42" customFormat="1">
      <c r="A173" s="56">
        <f>(J63*J64+J87*J88+J111*J112+J135*J136+J159*J160+J15*J16+J39*J40)/(J63+J87+J111+J135+J159+J15+J39)</f>
        <v>5706.0853847120979</v>
      </c>
      <c r="B173" s="63">
        <f>(B25*$J$15+B49*$J$39+B73*$J$63+B97*$J$87+B121*$J$111+B145*$J$135+B169*$J$159)/($J$15+$J$39+$J$63+$J$87+$J$111+$J$135+$J$159)</f>
        <v>708.96217877309812</v>
      </c>
      <c r="C173" s="63">
        <f t="shared" ref="C173:D173" si="6">(C25*$J$15+C49*$J$39+C73*$J$63+C97*$J$87+C121*$J$111+C145*$J$135+C169*$J$159)/($J$15+$J$39+$J$63+$J$87+$J$111+$J$135+$J$159)</f>
        <v>206.43860262369688</v>
      </c>
      <c r="D173" s="63">
        <f t="shared" si="6"/>
        <v>4.4069512173516845</v>
      </c>
      <c r="E173" s="63">
        <f>B173+C173+D173</f>
        <v>919.80773261414663</v>
      </c>
    </row>
    <row r="174" spans="1:12" s="42" customFormat="1"/>
    <row r="175" spans="1:12" s="42" customFormat="1">
      <c r="A175" s="44" t="s">
        <v>83</v>
      </c>
      <c r="B175" s="68">
        <f>C173/E173</f>
        <v>0.22443668965141927</v>
      </c>
    </row>
  </sheetData>
  <mergeCells count="28">
    <mergeCell ref="G35:G36"/>
    <mergeCell ref="B4:C4"/>
    <mergeCell ref="G11:G12"/>
    <mergeCell ref="G16:G17"/>
    <mergeCell ref="G21:G22"/>
    <mergeCell ref="B28:C28"/>
    <mergeCell ref="G107:G108"/>
    <mergeCell ref="G40:G41"/>
    <mergeCell ref="G45:G46"/>
    <mergeCell ref="B52:C52"/>
    <mergeCell ref="G59:G60"/>
    <mergeCell ref="G64:G65"/>
    <mergeCell ref="G69:G70"/>
    <mergeCell ref="B76:C76"/>
    <mergeCell ref="G83:G84"/>
    <mergeCell ref="G88:G89"/>
    <mergeCell ref="G93:G94"/>
    <mergeCell ref="B100:C100"/>
    <mergeCell ref="B148:C148"/>
    <mergeCell ref="G155:G156"/>
    <mergeCell ref="G160:G161"/>
    <mergeCell ref="G165:G166"/>
    <mergeCell ref="G112:G113"/>
    <mergeCell ref="G117:G118"/>
    <mergeCell ref="B124:C124"/>
    <mergeCell ref="G131:G132"/>
    <mergeCell ref="G136:G137"/>
    <mergeCell ref="G141:G14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M146"/>
  <sheetViews>
    <sheetView topLeftCell="A139" workbookViewId="0">
      <selection activeCell="B119" sqref="B119"/>
    </sheetView>
  </sheetViews>
  <sheetFormatPr baseColWidth="10" defaultRowHeight="15"/>
  <cols>
    <col min="1" max="1" width="19.42578125" style="42" bestFit="1" customWidth="1"/>
    <col min="2" max="6" width="11.42578125" style="42"/>
    <col min="7" max="7" width="16.140625" style="42" bestFit="1" customWidth="1"/>
    <col min="8" max="16384" width="11.42578125" style="42"/>
  </cols>
  <sheetData>
    <row r="4" spans="1:12">
      <c r="A4" s="42" t="s">
        <v>9</v>
      </c>
      <c r="B4" s="42" t="s">
        <v>94</v>
      </c>
    </row>
    <row r="5" spans="1:12">
      <c r="A5" s="42" t="s">
        <v>18</v>
      </c>
      <c r="B5" s="42">
        <v>654.70000000000005</v>
      </c>
    </row>
    <row r="6" spans="1:12">
      <c r="A6" s="42" t="s">
        <v>11</v>
      </c>
      <c r="B6" s="43">
        <v>43413</v>
      </c>
    </row>
    <row r="7" spans="1:12">
      <c r="A7" s="42" t="s">
        <v>12</v>
      </c>
      <c r="B7" s="43">
        <v>43432</v>
      </c>
    </row>
    <row r="9" spans="1:12">
      <c r="A9" s="44" t="s">
        <v>1</v>
      </c>
      <c r="B9" s="71" t="s">
        <v>17</v>
      </c>
    </row>
    <row r="10" spans="1:12">
      <c r="A10" s="44" t="s">
        <v>3</v>
      </c>
      <c r="B10" s="74" t="s">
        <v>8</v>
      </c>
      <c r="C10" s="74" t="s">
        <v>7</v>
      </c>
      <c r="D10" s="74" t="s">
        <v>6</v>
      </c>
      <c r="E10" s="74" t="s">
        <v>10</v>
      </c>
      <c r="F10" s="74" t="s">
        <v>13</v>
      </c>
      <c r="G10" s="74" t="s">
        <v>15</v>
      </c>
      <c r="I10" s="9"/>
      <c r="J10" s="9"/>
    </row>
    <row r="11" spans="1:12">
      <c r="A11" s="44" t="s">
        <v>4</v>
      </c>
      <c r="B11" s="46">
        <v>204500</v>
      </c>
      <c r="C11" s="46">
        <v>41400</v>
      </c>
      <c r="D11" s="46">
        <v>21820</v>
      </c>
      <c r="E11" s="46">
        <f>B11+C11+D11</f>
        <v>267720</v>
      </c>
      <c r="F11" s="71" t="s">
        <v>14</v>
      </c>
      <c r="G11" s="124">
        <v>3</v>
      </c>
      <c r="I11" s="12"/>
      <c r="J11" s="12"/>
      <c r="K11" s="14"/>
      <c r="L11" s="47"/>
    </row>
    <row r="12" spans="1:12">
      <c r="A12" s="44" t="s">
        <v>5</v>
      </c>
      <c r="B12" s="46">
        <v>261100</v>
      </c>
      <c r="C12" s="46">
        <v>50100</v>
      </c>
      <c r="D12" s="46">
        <v>19556</v>
      </c>
      <c r="E12" s="46">
        <f>B12+C12+D12</f>
        <v>330756</v>
      </c>
      <c r="F12" s="71" t="s">
        <v>14</v>
      </c>
      <c r="G12" s="124"/>
      <c r="I12" s="12"/>
      <c r="J12" s="12"/>
      <c r="K12" s="12"/>
      <c r="L12" s="47"/>
    </row>
    <row r="13" spans="1:12">
      <c r="I13" s="13"/>
      <c r="J13" s="13"/>
      <c r="K13" s="12"/>
      <c r="L13" s="47"/>
    </row>
    <row r="14" spans="1:12">
      <c r="A14" s="44" t="s">
        <v>1</v>
      </c>
      <c r="B14" s="79" t="s">
        <v>95</v>
      </c>
      <c r="I14" s="47"/>
      <c r="J14" s="14"/>
      <c r="K14" s="13"/>
      <c r="L14" s="47"/>
    </row>
    <row r="15" spans="1:12">
      <c r="A15" s="44" t="s">
        <v>3</v>
      </c>
      <c r="B15" s="74" t="s">
        <v>8</v>
      </c>
      <c r="C15" s="74" t="s">
        <v>7</v>
      </c>
      <c r="D15" s="74" t="s">
        <v>6</v>
      </c>
      <c r="E15" s="74" t="s">
        <v>10</v>
      </c>
      <c r="F15" s="74" t="s">
        <v>13</v>
      </c>
      <c r="G15" s="74" t="s">
        <v>15</v>
      </c>
      <c r="I15" s="57" t="s">
        <v>63</v>
      </c>
      <c r="J15" s="12">
        <f>G11+G16+G21</f>
        <v>16</v>
      </c>
      <c r="K15" s="47"/>
    </row>
    <row r="16" spans="1:12">
      <c r="A16" s="44" t="s">
        <v>4</v>
      </c>
      <c r="B16" s="46">
        <v>239100</v>
      </c>
      <c r="C16" s="46">
        <v>46700</v>
      </c>
      <c r="D16" s="46">
        <v>27609</v>
      </c>
      <c r="E16" s="46">
        <f>B16+C16+D16</f>
        <v>313409</v>
      </c>
      <c r="F16" s="71" t="s">
        <v>14</v>
      </c>
      <c r="G16" s="124">
        <v>13</v>
      </c>
      <c r="I16" s="54" t="s">
        <v>61</v>
      </c>
      <c r="J16" s="12">
        <f>(G11*100/(G11+G16+G21))^2+(G16*100/(G11+G16+G21))^2+(G21*100/(G11+G16+G21))^2</f>
        <v>6953.125</v>
      </c>
      <c r="K16" s="47"/>
      <c r="L16" s="9"/>
    </row>
    <row r="17" spans="1:12">
      <c r="A17" s="44" t="s">
        <v>5</v>
      </c>
      <c r="B17" s="46">
        <v>239100</v>
      </c>
      <c r="C17" s="46">
        <v>46700</v>
      </c>
      <c r="D17" s="46">
        <v>27609</v>
      </c>
      <c r="E17" s="46">
        <f>B17+C17+D17</f>
        <v>313409</v>
      </c>
      <c r="F17" s="71" t="s">
        <v>14</v>
      </c>
      <c r="G17" s="124"/>
      <c r="I17" s="47"/>
      <c r="J17" s="13"/>
      <c r="K17" s="47"/>
      <c r="L17" s="10"/>
    </row>
    <row r="18" spans="1:12">
      <c r="I18" s="9"/>
      <c r="J18" s="14"/>
      <c r="K18" s="47"/>
      <c r="L18" s="47"/>
    </row>
    <row r="19" spans="1:12">
      <c r="A19" s="44" t="s">
        <v>1</v>
      </c>
      <c r="B19" s="71"/>
      <c r="I19" s="10"/>
      <c r="J19" s="12"/>
      <c r="K19" s="47"/>
      <c r="L19" s="47"/>
    </row>
    <row r="20" spans="1:12">
      <c r="A20" s="44" t="s">
        <v>3</v>
      </c>
      <c r="B20" s="74" t="s">
        <v>8</v>
      </c>
      <c r="C20" s="74" t="s">
        <v>7</v>
      </c>
      <c r="D20" s="74" t="s">
        <v>6</v>
      </c>
      <c r="E20" s="74" t="s">
        <v>10</v>
      </c>
      <c r="F20" s="74" t="s">
        <v>13</v>
      </c>
      <c r="G20" s="74" t="s">
        <v>15</v>
      </c>
      <c r="I20" s="12"/>
      <c r="J20" s="12"/>
      <c r="K20" s="47"/>
      <c r="L20" s="47"/>
    </row>
    <row r="21" spans="1:12">
      <c r="A21" s="44" t="s">
        <v>4</v>
      </c>
      <c r="B21" s="46"/>
      <c r="C21" s="46"/>
      <c r="D21" s="46"/>
      <c r="E21" s="46">
        <f>B21+C21+D21</f>
        <v>0</v>
      </c>
      <c r="F21" s="71" t="s">
        <v>14</v>
      </c>
      <c r="G21" s="124"/>
      <c r="I21" s="13"/>
      <c r="J21" s="13"/>
      <c r="K21" s="14"/>
      <c r="L21" s="47"/>
    </row>
    <row r="22" spans="1:12">
      <c r="A22" s="44" t="s">
        <v>5</v>
      </c>
      <c r="B22" s="46"/>
      <c r="C22" s="46"/>
      <c r="D22" s="46"/>
      <c r="E22" s="46">
        <f>B22+C22+D22</f>
        <v>0</v>
      </c>
      <c r="F22" s="71" t="s">
        <v>14</v>
      </c>
      <c r="G22" s="124"/>
      <c r="I22" s="12"/>
      <c r="J22" s="13"/>
      <c r="K22" s="12"/>
      <c r="L22" s="47"/>
    </row>
    <row r="23" spans="1:12">
      <c r="I23" s="13"/>
      <c r="J23" s="12"/>
      <c r="K23" s="47"/>
    </row>
    <row r="24" spans="1:12">
      <c r="B24" s="73" t="s">
        <v>8</v>
      </c>
      <c r="C24" s="73" t="s">
        <v>7</v>
      </c>
      <c r="D24" s="73" t="s">
        <v>6</v>
      </c>
      <c r="E24" s="73" t="s">
        <v>10</v>
      </c>
      <c r="I24" s="47"/>
      <c r="J24" s="11"/>
      <c r="K24" s="47"/>
    </row>
    <row r="25" spans="1:12">
      <c r="A25" s="44" t="s">
        <v>19</v>
      </c>
      <c r="B25" s="46">
        <f>(((B11+B12)/2*$G$11+(B16+B17)/2*$G$16+(B21+B22)/2*$G$21))/($G$11+$G$16+$G$21)/$B$5</f>
        <v>363.40117611119592</v>
      </c>
      <c r="C25" s="46">
        <f>(((C11+C12)/2*$G$11+(C16+C17)/2*$G$16+(C21+C22)/2*$G$21)/($G$11+$G$16+$G$21))/$B$5</f>
        <v>71.058309149228648</v>
      </c>
      <c r="D25" s="46">
        <f>(((D11+D12)/2*$G$11+(D16+D17)/2*$G$16+(D21+D22)/2*$G$21)/($G$11+$G$16+$G$21))/$B$5</f>
        <v>40.188349625782799</v>
      </c>
      <c r="E25" s="46">
        <f>B25+C25+D25</f>
        <v>474.64783488620736</v>
      </c>
      <c r="H25" s="61"/>
      <c r="I25" s="61"/>
    </row>
    <row r="29" spans="1:12">
      <c r="A29" s="42" t="s">
        <v>9</v>
      </c>
      <c r="B29" s="42" t="s">
        <v>96</v>
      </c>
    </row>
    <row r="30" spans="1:12">
      <c r="A30" s="42" t="s">
        <v>18</v>
      </c>
      <c r="B30" s="42">
        <v>982.48</v>
      </c>
    </row>
    <row r="31" spans="1:12">
      <c r="A31" s="42" t="s">
        <v>11</v>
      </c>
      <c r="B31" s="43">
        <v>43365</v>
      </c>
    </row>
    <row r="32" spans="1:12">
      <c r="A32" s="42" t="s">
        <v>12</v>
      </c>
      <c r="B32" s="43">
        <v>43369</v>
      </c>
    </row>
    <row r="34" spans="1:12">
      <c r="A34" s="44" t="s">
        <v>1</v>
      </c>
      <c r="B34" s="71" t="s">
        <v>17</v>
      </c>
    </row>
    <row r="35" spans="1:12">
      <c r="A35" s="44" t="s">
        <v>3</v>
      </c>
      <c r="B35" s="74" t="s">
        <v>8</v>
      </c>
      <c r="C35" s="74" t="s">
        <v>7</v>
      </c>
      <c r="D35" s="74" t="s">
        <v>6</v>
      </c>
      <c r="E35" s="74" t="s">
        <v>10</v>
      </c>
      <c r="F35" s="74" t="s">
        <v>13</v>
      </c>
      <c r="G35" s="74" t="s">
        <v>15</v>
      </c>
      <c r="K35" s="14"/>
    </row>
    <row r="36" spans="1:12">
      <c r="A36" s="44" t="s">
        <v>4</v>
      </c>
      <c r="B36" s="46">
        <v>270600</v>
      </c>
      <c r="C36" s="46">
        <v>51500</v>
      </c>
      <c r="D36" s="46">
        <v>19176</v>
      </c>
      <c r="E36" s="46">
        <f>B36+C36+D36</f>
        <v>341276</v>
      </c>
      <c r="F36" s="71" t="s">
        <v>14</v>
      </c>
      <c r="G36" s="124">
        <v>3</v>
      </c>
      <c r="J36" s="9"/>
      <c r="K36" s="12"/>
      <c r="L36" s="47"/>
    </row>
    <row r="37" spans="1:12">
      <c r="A37" s="44" t="s">
        <v>5</v>
      </c>
      <c r="B37" s="46">
        <v>383800</v>
      </c>
      <c r="C37" s="46">
        <v>69100</v>
      </c>
      <c r="D37" s="46">
        <v>14648</v>
      </c>
      <c r="E37" s="46">
        <f>B37+C37+D37</f>
        <v>467548</v>
      </c>
      <c r="F37" s="71" t="s">
        <v>14</v>
      </c>
      <c r="G37" s="124"/>
      <c r="J37" s="10"/>
      <c r="K37" s="12"/>
      <c r="L37" s="47"/>
    </row>
    <row r="38" spans="1:12">
      <c r="J38" s="12"/>
      <c r="K38" s="13"/>
      <c r="L38" s="47"/>
    </row>
    <row r="39" spans="1:12">
      <c r="A39" s="44" t="s">
        <v>1</v>
      </c>
      <c r="B39" s="79" t="s">
        <v>97</v>
      </c>
      <c r="J39" s="13"/>
      <c r="K39" s="13"/>
      <c r="L39" s="47"/>
    </row>
    <row r="40" spans="1:12">
      <c r="A40" s="44" t="s">
        <v>3</v>
      </c>
      <c r="B40" s="74" t="s">
        <v>8</v>
      </c>
      <c r="C40" s="74" t="s">
        <v>7</v>
      </c>
      <c r="D40" s="74" t="s">
        <v>6</v>
      </c>
      <c r="E40" s="74" t="s">
        <v>10</v>
      </c>
      <c r="F40" s="74" t="s">
        <v>13</v>
      </c>
      <c r="G40" s="74" t="s">
        <v>15</v>
      </c>
      <c r="I40" s="57" t="s">
        <v>63</v>
      </c>
      <c r="J40" s="12">
        <f>G36+G41+G46</f>
        <v>13</v>
      </c>
      <c r="K40" s="13"/>
      <c r="L40" s="47"/>
    </row>
    <row r="41" spans="1:12">
      <c r="A41" s="44" t="s">
        <v>4</v>
      </c>
      <c r="B41" s="46">
        <v>305200</v>
      </c>
      <c r="C41" s="46">
        <v>56900</v>
      </c>
      <c r="D41" s="46">
        <v>26948</v>
      </c>
      <c r="E41" s="46">
        <f>B41+C41+D41</f>
        <v>389048</v>
      </c>
      <c r="F41" s="71" t="s">
        <v>14</v>
      </c>
      <c r="G41" s="124">
        <v>10</v>
      </c>
      <c r="I41" s="54" t="s">
        <v>61</v>
      </c>
      <c r="J41" s="55">
        <f>(G36*100/(G36+G41+G46))^2+(G41*100/(G36+G41+G46))^2+(G46*100/(G36+G41+G46))^2</f>
        <v>6449.7041420118339</v>
      </c>
      <c r="K41" s="14"/>
    </row>
    <row r="42" spans="1:12">
      <c r="A42" s="44" t="s">
        <v>5</v>
      </c>
      <c r="B42" s="46">
        <v>604000</v>
      </c>
      <c r="C42" s="46">
        <v>103100</v>
      </c>
      <c r="D42" s="46">
        <v>38709</v>
      </c>
      <c r="E42" s="46">
        <f>B42+C42+D42</f>
        <v>745809</v>
      </c>
      <c r="F42" s="71" t="s">
        <v>14</v>
      </c>
      <c r="G42" s="124"/>
      <c r="J42" s="12"/>
      <c r="K42" s="12"/>
    </row>
    <row r="43" spans="1:12">
      <c r="I43" s="14"/>
      <c r="J43" s="13"/>
      <c r="K43" s="12"/>
    </row>
    <row r="44" spans="1:12">
      <c r="B44" s="73" t="s">
        <v>8</v>
      </c>
      <c r="C44" s="73" t="s">
        <v>7</v>
      </c>
      <c r="D44" s="73" t="s">
        <v>6</v>
      </c>
      <c r="E44" s="73" t="s">
        <v>10</v>
      </c>
      <c r="I44" s="12"/>
      <c r="J44" s="47"/>
      <c r="K44" s="13"/>
    </row>
    <row r="45" spans="1:12">
      <c r="A45" s="44" t="s">
        <v>19</v>
      </c>
      <c r="B45" s="46">
        <f>(((B36+B37)/2*$G$36+(B41+B42)/2*$G$41)/($G$36+$G$41))/$B$30</f>
        <v>432.78234671443693</v>
      </c>
      <c r="C45" s="46">
        <f t="shared" ref="C45:D45" si="0">(((C36+C37)/2*$G$36+(C41+C42)/2*$G$41)/($G$36+$G$41))/$B$30</f>
        <v>76.799371136151535</v>
      </c>
      <c r="D45" s="46">
        <f t="shared" si="0"/>
        <v>29.675374092563246</v>
      </c>
      <c r="E45" s="46">
        <f>B45+C45+D45</f>
        <v>539.25709194315175</v>
      </c>
      <c r="I45" s="12"/>
      <c r="J45" s="47"/>
    </row>
    <row r="46" spans="1:12">
      <c r="I46" s="13"/>
      <c r="J46" s="47"/>
    </row>
    <row r="47" spans="1:12">
      <c r="I47" s="47"/>
      <c r="J47" s="47"/>
    </row>
    <row r="49" spans="1:12">
      <c r="A49" s="42" t="s">
        <v>9</v>
      </c>
      <c r="B49" s="42" t="s">
        <v>98</v>
      </c>
    </row>
    <row r="50" spans="1:12">
      <c r="A50" s="42" t="s">
        <v>18</v>
      </c>
      <c r="B50" s="42">
        <v>1280.19</v>
      </c>
    </row>
    <row r="51" spans="1:12">
      <c r="A51" s="42" t="s">
        <v>11</v>
      </c>
      <c r="B51" s="43">
        <v>43365</v>
      </c>
    </row>
    <row r="52" spans="1:12">
      <c r="A52" s="42" t="s">
        <v>12</v>
      </c>
      <c r="B52" s="43">
        <v>43369</v>
      </c>
    </row>
    <row r="54" spans="1:12">
      <c r="A54" s="44" t="s">
        <v>1</v>
      </c>
      <c r="B54" s="71" t="s">
        <v>17</v>
      </c>
      <c r="K54" s="9"/>
    </row>
    <row r="55" spans="1:12">
      <c r="A55" s="44" t="s">
        <v>3</v>
      </c>
      <c r="B55" s="74" t="s">
        <v>8</v>
      </c>
      <c r="C55" s="74" t="s">
        <v>7</v>
      </c>
      <c r="D55" s="74" t="s">
        <v>6</v>
      </c>
      <c r="E55" s="74" t="s">
        <v>10</v>
      </c>
      <c r="F55" s="74" t="s">
        <v>13</v>
      </c>
      <c r="G55" s="74" t="s">
        <v>15</v>
      </c>
      <c r="I55" s="14"/>
      <c r="J55" s="47"/>
      <c r="K55" s="9"/>
    </row>
    <row r="56" spans="1:12">
      <c r="A56" s="44" t="s">
        <v>4</v>
      </c>
      <c r="B56" s="46">
        <v>302000</v>
      </c>
      <c r="C56" s="46">
        <v>56400</v>
      </c>
      <c r="D56" s="46">
        <v>17920</v>
      </c>
      <c r="E56" s="46">
        <f>B56+C56+D56</f>
        <v>376320</v>
      </c>
      <c r="F56" s="71" t="s">
        <v>14</v>
      </c>
      <c r="G56" s="124">
        <v>2</v>
      </c>
      <c r="I56" s="12"/>
      <c r="J56" s="47"/>
      <c r="K56" s="9"/>
      <c r="L56" s="47"/>
    </row>
    <row r="57" spans="1:12">
      <c r="A57" s="44" t="s">
        <v>5</v>
      </c>
      <c r="B57" s="46">
        <v>302000</v>
      </c>
      <c r="C57" s="46">
        <v>56400</v>
      </c>
      <c r="D57" s="46">
        <v>17920</v>
      </c>
      <c r="E57" s="46">
        <f>B57+C57+D57</f>
        <v>376320</v>
      </c>
      <c r="F57" s="71" t="s">
        <v>14</v>
      </c>
      <c r="G57" s="124"/>
      <c r="I57" s="12"/>
      <c r="J57" s="47"/>
      <c r="K57" s="10"/>
      <c r="L57" s="47"/>
    </row>
    <row r="58" spans="1:12">
      <c r="I58" s="13"/>
      <c r="J58" s="47"/>
      <c r="K58" s="14"/>
      <c r="L58" s="47"/>
    </row>
    <row r="59" spans="1:12">
      <c r="A59" s="44" t="s">
        <v>1</v>
      </c>
      <c r="B59" s="79" t="s">
        <v>97</v>
      </c>
      <c r="I59" s="47"/>
      <c r="J59" s="47"/>
      <c r="K59" s="12"/>
      <c r="L59" s="47"/>
    </row>
    <row r="60" spans="1:12">
      <c r="A60" s="44" t="s">
        <v>3</v>
      </c>
      <c r="B60" s="74" t="s">
        <v>8</v>
      </c>
      <c r="C60" s="74" t="s">
        <v>7</v>
      </c>
      <c r="D60" s="74" t="s">
        <v>6</v>
      </c>
      <c r="E60" s="74" t="s">
        <v>10</v>
      </c>
      <c r="F60" s="74" t="s">
        <v>13</v>
      </c>
      <c r="G60" s="74" t="s">
        <v>15</v>
      </c>
      <c r="I60" s="57" t="s">
        <v>63</v>
      </c>
      <c r="J60" s="12">
        <f>G56+G61+G66</f>
        <v>9</v>
      </c>
      <c r="K60" s="12"/>
    </row>
    <row r="61" spans="1:12">
      <c r="A61" s="44" t="s">
        <v>4</v>
      </c>
      <c r="B61" s="46">
        <v>336600</v>
      </c>
      <c r="C61" s="46">
        <v>61800</v>
      </c>
      <c r="D61" s="46">
        <v>26634</v>
      </c>
      <c r="E61" s="46">
        <f>B61+C61+D61</f>
        <v>425034</v>
      </c>
      <c r="F61" s="71" t="s">
        <v>14</v>
      </c>
      <c r="G61" s="124">
        <v>7</v>
      </c>
      <c r="I61" s="54" t="s">
        <v>61</v>
      </c>
      <c r="J61" s="55">
        <f>(G56*100/(G56+G61+G66))^2+(G61*100/(G56+G61+G66))^2+(G66*100/(G56+G61+G66))^2</f>
        <v>6543.2098765432092</v>
      </c>
      <c r="K61" s="13"/>
    </row>
    <row r="62" spans="1:12">
      <c r="A62" s="44" t="s">
        <v>5</v>
      </c>
      <c r="B62" s="46">
        <v>336600</v>
      </c>
      <c r="C62" s="46">
        <v>61800</v>
      </c>
      <c r="D62" s="46">
        <v>26634</v>
      </c>
      <c r="E62" s="46">
        <f>B62+C62+D62</f>
        <v>425034</v>
      </c>
      <c r="F62" s="71" t="s">
        <v>14</v>
      </c>
      <c r="G62" s="124"/>
      <c r="I62" s="12"/>
      <c r="J62" s="47"/>
      <c r="K62" s="12"/>
    </row>
    <row r="63" spans="1:12">
      <c r="I63" s="14"/>
      <c r="J63" s="47"/>
      <c r="K63" s="12"/>
    </row>
    <row r="64" spans="1:12">
      <c r="B64" s="73" t="s">
        <v>8</v>
      </c>
      <c r="C64" s="73" t="s">
        <v>7</v>
      </c>
      <c r="D64" s="73" t="s">
        <v>6</v>
      </c>
      <c r="E64" s="73" t="s">
        <v>10</v>
      </c>
      <c r="I64" s="12"/>
      <c r="J64" s="47"/>
      <c r="K64" s="13"/>
    </row>
    <row r="65" spans="1:12">
      <c r="A65" s="44" t="s">
        <v>19</v>
      </c>
      <c r="B65" s="46">
        <f>(((B56+B57)/2*$G$56+(B61+B62)/2*$G$61)/($G$56+$G$61))/$B$50</f>
        <v>256.92366844852023</v>
      </c>
      <c r="C65" s="46">
        <f t="shared" ref="C65:D65" si="1">(((C56+C57)/2*$G$56+(C61+C62)/2*$G$61)/($G$56+$G$61))/$B$50</f>
        <v>47.336723455112129</v>
      </c>
      <c r="D65" s="46">
        <f t="shared" si="1"/>
        <v>19.29210160644557</v>
      </c>
      <c r="E65" s="46">
        <f>B65+C65+D65</f>
        <v>323.55249351007791</v>
      </c>
      <c r="I65" s="12"/>
      <c r="J65" s="47"/>
    </row>
    <row r="66" spans="1:12">
      <c r="I66" s="13"/>
      <c r="J66" s="47"/>
    </row>
    <row r="69" spans="1:12">
      <c r="A69" s="42" t="s">
        <v>9</v>
      </c>
      <c r="B69" s="42" t="s">
        <v>99</v>
      </c>
    </row>
    <row r="70" spans="1:12">
      <c r="A70" s="42" t="s">
        <v>18</v>
      </c>
      <c r="B70" s="42">
        <v>1337.26</v>
      </c>
    </row>
    <row r="71" spans="1:12">
      <c r="A71" s="42" t="s">
        <v>11</v>
      </c>
      <c r="B71" s="43">
        <v>43365</v>
      </c>
    </row>
    <row r="72" spans="1:12">
      <c r="A72" s="42" t="s">
        <v>12</v>
      </c>
      <c r="B72" s="43">
        <v>43369</v>
      </c>
    </row>
    <row r="74" spans="1:12">
      <c r="A74" s="44" t="s">
        <v>1</v>
      </c>
      <c r="B74" s="71" t="s">
        <v>17</v>
      </c>
    </row>
    <row r="75" spans="1:12">
      <c r="A75" s="44" t="s">
        <v>3</v>
      </c>
      <c r="B75" s="74" t="s">
        <v>8</v>
      </c>
      <c r="C75" s="74" t="s">
        <v>7</v>
      </c>
      <c r="D75" s="74" t="s">
        <v>6</v>
      </c>
      <c r="E75" s="74" t="s">
        <v>10</v>
      </c>
      <c r="F75" s="74" t="s">
        <v>13</v>
      </c>
      <c r="G75" s="74" t="s">
        <v>15</v>
      </c>
      <c r="I75" s="9"/>
      <c r="K75" s="9"/>
    </row>
    <row r="76" spans="1:12">
      <c r="A76" s="44" t="s">
        <v>4</v>
      </c>
      <c r="B76" s="46">
        <v>305200</v>
      </c>
      <c r="C76" s="46">
        <v>56900</v>
      </c>
      <c r="D76" s="46">
        <v>17792</v>
      </c>
      <c r="E76" s="46">
        <f>B76+C76+D76</f>
        <v>379892</v>
      </c>
      <c r="F76" s="71" t="s">
        <v>14</v>
      </c>
      <c r="G76" s="124">
        <v>3</v>
      </c>
      <c r="I76" s="10"/>
      <c r="J76" s="9"/>
      <c r="K76" s="10"/>
      <c r="L76" s="47"/>
    </row>
    <row r="77" spans="1:12">
      <c r="A77" s="44" t="s">
        <v>5</v>
      </c>
      <c r="B77" s="46">
        <v>490700</v>
      </c>
      <c r="C77" s="46">
        <v>85600</v>
      </c>
      <c r="D77" s="46">
        <v>15905</v>
      </c>
      <c r="E77" s="46">
        <f>B77+C77+D77</f>
        <v>592205</v>
      </c>
      <c r="F77" s="71" t="s">
        <v>14</v>
      </c>
      <c r="G77" s="124"/>
      <c r="I77" s="12"/>
      <c r="J77" s="12"/>
      <c r="K77" s="14"/>
      <c r="L77" s="47"/>
    </row>
    <row r="78" spans="1:12">
      <c r="I78" s="13"/>
      <c r="J78" s="12"/>
      <c r="K78" s="12"/>
      <c r="L78" s="47"/>
    </row>
    <row r="79" spans="1:12">
      <c r="A79" s="44" t="s">
        <v>1</v>
      </c>
      <c r="B79" s="79" t="s">
        <v>97</v>
      </c>
      <c r="I79" s="47"/>
      <c r="J79" s="13"/>
      <c r="K79" s="12"/>
      <c r="L79" s="47"/>
    </row>
    <row r="80" spans="1:12">
      <c r="A80" s="44" t="s">
        <v>3</v>
      </c>
      <c r="B80" s="74" t="s">
        <v>8</v>
      </c>
      <c r="C80" s="74" t="s">
        <v>7</v>
      </c>
      <c r="D80" s="74" t="s">
        <v>6</v>
      </c>
      <c r="E80" s="74" t="s">
        <v>10</v>
      </c>
      <c r="F80" s="74" t="s">
        <v>13</v>
      </c>
      <c r="G80" s="74" t="s">
        <v>15</v>
      </c>
      <c r="I80" s="57" t="s">
        <v>63</v>
      </c>
      <c r="J80" s="12">
        <f>G76+G81+G86</f>
        <v>8</v>
      </c>
      <c r="K80" s="13"/>
    </row>
    <row r="81" spans="1:11">
      <c r="A81" s="44" t="s">
        <v>4</v>
      </c>
      <c r="B81" s="46">
        <v>380600</v>
      </c>
      <c r="C81" s="46">
        <v>68600</v>
      </c>
      <c r="D81" s="46">
        <v>26194</v>
      </c>
      <c r="E81" s="46">
        <f>B81+C81+D81</f>
        <v>475394</v>
      </c>
      <c r="F81" s="71" t="s">
        <v>14</v>
      </c>
      <c r="G81" s="124">
        <v>5</v>
      </c>
      <c r="I81" s="54" t="s">
        <v>61</v>
      </c>
      <c r="J81" s="55">
        <f>(G76*100/(G76+G81+G86))^2+(G81*100/(G76+G81+G86))^2+(G86*100/(G76+G81+G86))^2</f>
        <v>5312.5</v>
      </c>
      <c r="K81" s="14"/>
    </row>
    <row r="82" spans="1:11">
      <c r="A82" s="44" t="s">
        <v>5</v>
      </c>
      <c r="B82" s="46">
        <v>597700</v>
      </c>
      <c r="C82" s="46">
        <v>102100</v>
      </c>
      <c r="D82" s="46">
        <v>38310</v>
      </c>
      <c r="E82" s="46">
        <f>B82+C82+D82</f>
        <v>738110</v>
      </c>
      <c r="F82" s="71" t="s">
        <v>14</v>
      </c>
      <c r="G82" s="124"/>
      <c r="I82" s="12"/>
      <c r="J82" s="47"/>
      <c r="K82" s="12"/>
    </row>
    <row r="83" spans="1:11">
      <c r="I83" s="9"/>
      <c r="J83" s="47"/>
      <c r="K83" s="12"/>
    </row>
    <row r="84" spans="1:11">
      <c r="A84" s="44" t="s">
        <v>1</v>
      </c>
      <c r="B84" s="71"/>
      <c r="I84" s="10"/>
      <c r="K84" s="11"/>
    </row>
    <row r="85" spans="1:11">
      <c r="A85" s="44" t="s">
        <v>3</v>
      </c>
      <c r="B85" s="74" t="s">
        <v>8</v>
      </c>
      <c r="C85" s="74" t="s">
        <v>7</v>
      </c>
      <c r="D85" s="74" t="s">
        <v>6</v>
      </c>
      <c r="E85" s="74" t="s">
        <v>10</v>
      </c>
      <c r="F85" s="74" t="s">
        <v>13</v>
      </c>
      <c r="G85" s="74" t="s">
        <v>15</v>
      </c>
      <c r="I85" s="12"/>
    </row>
    <row r="86" spans="1:11">
      <c r="A86" s="44" t="s">
        <v>4</v>
      </c>
      <c r="B86" s="46"/>
      <c r="C86" s="46"/>
      <c r="D86" s="46"/>
      <c r="E86" s="46">
        <f>B86+C86+D86</f>
        <v>0</v>
      </c>
      <c r="F86" s="71" t="s">
        <v>14</v>
      </c>
      <c r="G86" s="124"/>
      <c r="I86" s="11"/>
    </row>
    <row r="87" spans="1:11">
      <c r="A87" s="44" t="s">
        <v>5</v>
      </c>
      <c r="B87" s="46"/>
      <c r="C87" s="46"/>
      <c r="D87" s="46"/>
      <c r="E87" s="46">
        <f>B87+C87+D87</f>
        <v>0</v>
      </c>
      <c r="F87" s="71" t="s">
        <v>14</v>
      </c>
      <c r="G87" s="124"/>
    </row>
    <row r="89" spans="1:11">
      <c r="B89" s="73" t="s">
        <v>8</v>
      </c>
      <c r="C89" s="73" t="s">
        <v>7</v>
      </c>
      <c r="D89" s="73" t="s">
        <v>6</v>
      </c>
      <c r="E89" s="73" t="s">
        <v>10</v>
      </c>
    </row>
    <row r="90" spans="1:11">
      <c r="A90" s="44" t="s">
        <v>19</v>
      </c>
      <c r="B90" s="46">
        <f>(((B76+B77)/2*$G$76+(B81+B82)/2*$G$81)/($G$76+$G$81))/$B$70</f>
        <v>340.21057984236421</v>
      </c>
      <c r="C90" s="46">
        <f t="shared" ref="C90:D90" si="2">(((C76+C77)/2*$G$76+(C81+C82)/2*$G$81)/($G$76+$G$81))/$B$70</f>
        <v>59.870556211955794</v>
      </c>
      <c r="D90" s="46">
        <f t="shared" si="2"/>
        <v>19.798459162765656</v>
      </c>
      <c r="E90" s="46">
        <f>B90+C90+D90</f>
        <v>419.87959521708564</v>
      </c>
    </row>
    <row r="94" spans="1:11">
      <c r="A94" s="42" t="s">
        <v>9</v>
      </c>
      <c r="B94" s="42" t="s">
        <v>100</v>
      </c>
    </row>
    <row r="95" spans="1:11">
      <c r="A95" s="42" t="s">
        <v>18</v>
      </c>
      <c r="B95" s="42">
        <v>1072.3399999999999</v>
      </c>
    </row>
    <row r="96" spans="1:11">
      <c r="A96" s="42" t="s">
        <v>11</v>
      </c>
      <c r="B96" s="43">
        <v>43365</v>
      </c>
    </row>
    <row r="97" spans="1:13">
      <c r="A97" s="42" t="s">
        <v>12</v>
      </c>
      <c r="B97" s="43">
        <v>43369</v>
      </c>
    </row>
    <row r="99" spans="1:13">
      <c r="A99" s="44" t="s">
        <v>1</v>
      </c>
      <c r="B99" s="71" t="s">
        <v>17</v>
      </c>
    </row>
    <row r="100" spans="1:13">
      <c r="A100" s="44" t="s">
        <v>3</v>
      </c>
      <c r="B100" s="74" t="s">
        <v>8</v>
      </c>
      <c r="C100" s="74" t="s">
        <v>7</v>
      </c>
      <c r="D100" s="74" t="s">
        <v>6</v>
      </c>
      <c r="E100" s="74" t="s">
        <v>10</v>
      </c>
      <c r="F100" s="74" t="s">
        <v>13</v>
      </c>
      <c r="G100" s="74" t="s">
        <v>15</v>
      </c>
    </row>
    <row r="101" spans="1:13">
      <c r="A101" s="44" t="s">
        <v>4</v>
      </c>
      <c r="B101" s="46">
        <v>320900</v>
      </c>
      <c r="C101" s="46">
        <v>59400</v>
      </c>
      <c r="D101" s="46">
        <v>17164</v>
      </c>
      <c r="E101" s="46">
        <f>B101+C101+D101</f>
        <v>397464</v>
      </c>
      <c r="F101" s="71" t="s">
        <v>14</v>
      </c>
      <c r="G101" s="124">
        <v>2</v>
      </c>
      <c r="J101" s="9"/>
      <c r="K101" s="9"/>
      <c r="L101" s="47"/>
    </row>
    <row r="102" spans="1:13">
      <c r="A102" s="44" t="s">
        <v>5</v>
      </c>
      <c r="B102" s="46">
        <v>320900</v>
      </c>
      <c r="C102" s="46">
        <v>59400</v>
      </c>
      <c r="D102" s="46">
        <v>17164</v>
      </c>
      <c r="E102" s="46">
        <f>B102+C102+D102</f>
        <v>397464</v>
      </c>
      <c r="F102" s="71" t="s">
        <v>14</v>
      </c>
      <c r="G102" s="124"/>
      <c r="J102" s="10"/>
      <c r="K102" s="10"/>
      <c r="L102" s="47"/>
    </row>
    <row r="103" spans="1:13">
      <c r="J103" s="12"/>
      <c r="K103" s="14"/>
      <c r="L103" s="47"/>
      <c r="M103" s="47"/>
    </row>
    <row r="104" spans="1:13">
      <c r="A104" s="44" t="s">
        <v>1</v>
      </c>
      <c r="B104" s="79" t="s">
        <v>97</v>
      </c>
      <c r="J104" s="14"/>
      <c r="K104" s="12"/>
      <c r="L104" s="47"/>
      <c r="M104" s="47"/>
    </row>
    <row r="105" spans="1:13">
      <c r="A105" s="44" t="s">
        <v>3</v>
      </c>
      <c r="B105" s="74" t="s">
        <v>8</v>
      </c>
      <c r="C105" s="74" t="s">
        <v>7</v>
      </c>
      <c r="D105" s="74" t="s">
        <v>6</v>
      </c>
      <c r="E105" s="74" t="s">
        <v>10</v>
      </c>
      <c r="F105" s="74" t="s">
        <v>13</v>
      </c>
      <c r="G105" s="74" t="s">
        <v>15</v>
      </c>
      <c r="I105" s="57" t="s">
        <v>63</v>
      </c>
      <c r="J105" s="12">
        <f>G101+G106+G111</f>
        <v>9</v>
      </c>
      <c r="K105" s="12"/>
      <c r="L105" s="14"/>
      <c r="M105" s="47"/>
    </row>
    <row r="106" spans="1:13">
      <c r="A106" s="44" t="s">
        <v>4</v>
      </c>
      <c r="B106" s="46">
        <v>317700</v>
      </c>
      <c r="C106" s="46">
        <v>58800</v>
      </c>
      <c r="D106" s="46">
        <v>26823</v>
      </c>
      <c r="E106" s="46">
        <f>B106+C106+D106</f>
        <v>403323</v>
      </c>
      <c r="F106" s="71" t="s">
        <v>14</v>
      </c>
      <c r="G106" s="124">
        <v>7</v>
      </c>
      <c r="I106" s="54" t="s">
        <v>61</v>
      </c>
      <c r="J106" s="55">
        <f>(G101*100/(G101+G106+G111))^2+(G106*100/(G101+G106+G111))^2+(G111*100/(G101+G106+G111))^2</f>
        <v>6543.2098765432092</v>
      </c>
      <c r="K106" s="33"/>
      <c r="L106" s="12"/>
      <c r="M106" s="47"/>
    </row>
    <row r="107" spans="1:13">
      <c r="A107" s="44" t="s">
        <v>5</v>
      </c>
      <c r="B107" s="46">
        <v>626000</v>
      </c>
      <c r="C107" s="46">
        <v>106500</v>
      </c>
      <c r="D107" s="46">
        <v>40096</v>
      </c>
      <c r="E107" s="46">
        <f>B107+C107+D107</f>
        <v>772596</v>
      </c>
      <c r="F107" s="71" t="s">
        <v>14</v>
      </c>
      <c r="G107" s="124"/>
      <c r="J107" s="12"/>
      <c r="K107" s="34"/>
      <c r="L107" s="12"/>
      <c r="M107" s="47"/>
    </row>
    <row r="108" spans="1:13">
      <c r="I108" s="14"/>
      <c r="J108" s="33"/>
      <c r="K108" s="47"/>
      <c r="L108" s="13"/>
      <c r="M108" s="47"/>
    </row>
    <row r="109" spans="1:13">
      <c r="A109" s="44" t="s">
        <v>1</v>
      </c>
      <c r="B109" s="71"/>
      <c r="I109" s="12"/>
      <c r="J109" s="34"/>
      <c r="K109" s="47"/>
    </row>
    <row r="110" spans="1:13">
      <c r="A110" s="44" t="s">
        <v>3</v>
      </c>
      <c r="B110" s="74" t="s">
        <v>8</v>
      </c>
      <c r="C110" s="74" t="s">
        <v>7</v>
      </c>
      <c r="D110" s="74" t="s">
        <v>6</v>
      </c>
      <c r="E110" s="74" t="s">
        <v>10</v>
      </c>
      <c r="F110" s="74" t="s">
        <v>13</v>
      </c>
      <c r="G110" s="74" t="s">
        <v>15</v>
      </c>
      <c r="I110" s="12"/>
      <c r="J110" s="14"/>
      <c r="K110" s="47"/>
    </row>
    <row r="111" spans="1:13">
      <c r="A111" s="44" t="s">
        <v>4</v>
      </c>
      <c r="B111" s="46"/>
      <c r="C111" s="46"/>
      <c r="D111" s="46"/>
      <c r="E111" s="46">
        <f>B111+C111+D111</f>
        <v>0</v>
      </c>
      <c r="F111" s="71" t="s">
        <v>14</v>
      </c>
      <c r="G111" s="128"/>
      <c r="I111" s="13"/>
      <c r="J111" s="12"/>
      <c r="K111" s="47"/>
    </row>
    <row r="112" spans="1:13">
      <c r="A112" s="44" t="s">
        <v>5</v>
      </c>
      <c r="B112" s="46"/>
      <c r="C112" s="46"/>
      <c r="D112" s="46"/>
      <c r="E112" s="46">
        <f>B112+C112+D112</f>
        <v>0</v>
      </c>
      <c r="F112" s="71" t="s">
        <v>14</v>
      </c>
      <c r="G112" s="129"/>
      <c r="J112" s="12"/>
      <c r="K112" s="47"/>
    </row>
    <row r="113" spans="1:11">
      <c r="J113" s="13"/>
      <c r="K113" s="47"/>
    </row>
    <row r="114" spans="1:11">
      <c r="B114" s="73" t="s">
        <v>8</v>
      </c>
      <c r="C114" s="73" t="s">
        <v>7</v>
      </c>
      <c r="D114" s="73" t="s">
        <v>6</v>
      </c>
      <c r="E114" s="73" t="s">
        <v>10</v>
      </c>
      <c r="J114" s="47"/>
      <c r="K114" s="47"/>
    </row>
    <row r="115" spans="1:11">
      <c r="A115" s="44" t="s">
        <v>19</v>
      </c>
      <c r="B115" s="46">
        <f>(((B101+B102)/2*$G$101+(B106+B107)/2*$G$106+(B111+B112)/2*$G$111)/($G$101+$G$106+$G$111))/$B$95</f>
        <v>408.73748583057204</v>
      </c>
      <c r="C115" s="46">
        <f>(((C101+C102)/2*$G$101+(C106+C107)/2*$G$106+(C111+C112)/2*$G$111)/($G$101+$G$106+$G$111))/$B$95</f>
        <v>72.256311741922644</v>
      </c>
      <c r="D115" s="46">
        <f>(((D101+D102)/2*$G$101+(D106+D107)/2*$G$106+(D111+D112)/2*$G$111)/($G$101+$G$106+$G$111))/$B$95</f>
        <v>27.825389128240836</v>
      </c>
      <c r="E115" s="46">
        <f>B115+C115+D115</f>
        <v>508.81918670073554</v>
      </c>
    </row>
    <row r="119" spans="1:11">
      <c r="A119" s="42" t="s">
        <v>9</v>
      </c>
      <c r="B119" s="42" t="s">
        <v>101</v>
      </c>
    </row>
    <row r="120" spans="1:11">
      <c r="A120" s="42" t="s">
        <v>18</v>
      </c>
      <c r="B120" s="42">
        <v>290.87</v>
      </c>
    </row>
    <row r="121" spans="1:11">
      <c r="A121" s="42" t="s">
        <v>11</v>
      </c>
      <c r="B121" s="43">
        <v>43365</v>
      </c>
    </row>
    <row r="122" spans="1:11">
      <c r="A122" s="42" t="s">
        <v>12</v>
      </c>
      <c r="B122" s="43">
        <v>43369</v>
      </c>
    </row>
    <row r="124" spans="1:11">
      <c r="A124" s="44" t="s">
        <v>1</v>
      </c>
      <c r="B124" s="79" t="s">
        <v>102</v>
      </c>
    </row>
    <row r="125" spans="1:11">
      <c r="A125" s="44" t="s">
        <v>3</v>
      </c>
      <c r="B125" s="74" t="s">
        <v>8</v>
      </c>
      <c r="C125" s="74" t="s">
        <v>7</v>
      </c>
      <c r="D125" s="74" t="s">
        <v>6</v>
      </c>
      <c r="E125" s="74" t="s">
        <v>10</v>
      </c>
      <c r="F125" s="74" t="s">
        <v>13</v>
      </c>
      <c r="G125" s="74" t="s">
        <v>15</v>
      </c>
    </row>
    <row r="126" spans="1:11">
      <c r="A126" s="44" t="s">
        <v>4</v>
      </c>
      <c r="B126" s="46">
        <v>103800</v>
      </c>
      <c r="C126" s="46">
        <v>50900</v>
      </c>
      <c r="D126" s="46">
        <v>28962</v>
      </c>
      <c r="E126" s="46">
        <f>B126+C126+D126</f>
        <v>183662</v>
      </c>
      <c r="F126" s="71" t="s">
        <v>14</v>
      </c>
      <c r="G126" s="124">
        <v>2</v>
      </c>
      <c r="J126" s="9"/>
      <c r="K126" s="9"/>
    </row>
    <row r="127" spans="1:11">
      <c r="A127" s="44" t="s">
        <v>5</v>
      </c>
      <c r="B127" s="46">
        <v>103800</v>
      </c>
      <c r="C127" s="46">
        <v>50900</v>
      </c>
      <c r="D127" s="46">
        <v>28962</v>
      </c>
      <c r="E127" s="46">
        <f>B127+C127+D127</f>
        <v>183662</v>
      </c>
      <c r="F127" s="71" t="s">
        <v>14</v>
      </c>
      <c r="G127" s="124"/>
      <c r="J127" s="10"/>
      <c r="K127" s="10"/>
    </row>
    <row r="128" spans="1:11">
      <c r="J128" s="12"/>
      <c r="K128" s="12"/>
    </row>
    <row r="129" spans="1:12">
      <c r="A129" s="44" t="s">
        <v>1</v>
      </c>
      <c r="B129" s="79" t="s">
        <v>97</v>
      </c>
      <c r="J129" s="13"/>
      <c r="K129" s="13"/>
      <c r="L129" s="47"/>
    </row>
    <row r="130" spans="1:12">
      <c r="A130" s="44" t="s">
        <v>3</v>
      </c>
      <c r="B130" s="74" t="s">
        <v>8</v>
      </c>
      <c r="C130" s="74" t="s">
        <v>7</v>
      </c>
      <c r="D130" s="74" t="s">
        <v>6</v>
      </c>
      <c r="E130" s="74" t="s">
        <v>10</v>
      </c>
      <c r="F130" s="74" t="s">
        <v>13</v>
      </c>
      <c r="G130" s="74" t="s">
        <v>15</v>
      </c>
      <c r="I130" s="57" t="s">
        <v>63</v>
      </c>
      <c r="J130" s="12">
        <f>G126+G131+G136</f>
        <v>6</v>
      </c>
      <c r="K130" s="14"/>
      <c r="L130" s="47"/>
    </row>
    <row r="131" spans="1:12">
      <c r="A131" s="44" t="s">
        <v>4</v>
      </c>
      <c r="B131" s="46">
        <v>141600</v>
      </c>
      <c r="C131" s="46">
        <v>31600</v>
      </c>
      <c r="D131" s="46">
        <v>28584</v>
      </c>
      <c r="E131" s="46">
        <f>B131+C131+D131</f>
        <v>201784</v>
      </c>
      <c r="F131" s="71" t="s">
        <v>14</v>
      </c>
      <c r="G131" s="124">
        <v>4</v>
      </c>
      <c r="I131" s="54" t="s">
        <v>61</v>
      </c>
      <c r="J131" s="55">
        <f>(G126*100/(G126+G131+G136))^2+(G131*100/(G126+G131+G136))^2+(G136*100/(G126+G131+G136))^2</f>
        <v>5555.5555555555566</v>
      </c>
      <c r="K131" s="12"/>
      <c r="L131" s="47"/>
    </row>
    <row r="132" spans="1:12">
      <c r="A132" s="44" t="s">
        <v>5</v>
      </c>
      <c r="B132" s="46">
        <v>179300</v>
      </c>
      <c r="C132" s="46">
        <v>37400</v>
      </c>
      <c r="D132" s="46">
        <v>28207</v>
      </c>
      <c r="E132" s="46">
        <f>B132+C132+D132</f>
        <v>244907</v>
      </c>
      <c r="F132" s="71" t="s">
        <v>14</v>
      </c>
      <c r="G132" s="124"/>
      <c r="J132" s="12"/>
      <c r="K132" s="12"/>
      <c r="L132" s="47"/>
    </row>
    <row r="133" spans="1:12">
      <c r="I133" s="14"/>
      <c r="J133" s="13"/>
      <c r="K133" s="13"/>
      <c r="L133" s="47"/>
    </row>
    <row r="134" spans="1:12">
      <c r="A134" s="44" t="s">
        <v>1</v>
      </c>
      <c r="B134" s="71"/>
      <c r="I134" s="12"/>
      <c r="J134" s="13"/>
      <c r="K134" s="13"/>
      <c r="L134" s="47"/>
    </row>
    <row r="135" spans="1:12">
      <c r="A135" s="44" t="s">
        <v>3</v>
      </c>
      <c r="B135" s="74" t="s">
        <v>8</v>
      </c>
      <c r="C135" s="74" t="s">
        <v>7</v>
      </c>
      <c r="D135" s="74" t="s">
        <v>6</v>
      </c>
      <c r="E135" s="74" t="s">
        <v>10</v>
      </c>
      <c r="F135" s="74" t="s">
        <v>13</v>
      </c>
      <c r="G135" s="74" t="s">
        <v>15</v>
      </c>
      <c r="I135" s="12"/>
      <c r="J135" s="14"/>
      <c r="K135" s="47"/>
    </row>
    <row r="136" spans="1:12">
      <c r="A136" s="44" t="s">
        <v>4</v>
      </c>
      <c r="B136" s="46"/>
      <c r="C136" s="46"/>
      <c r="D136" s="46"/>
      <c r="E136" s="46">
        <f>B136+C136+D136</f>
        <v>0</v>
      </c>
      <c r="F136" s="71" t="s">
        <v>14</v>
      </c>
      <c r="G136" s="124"/>
      <c r="I136" s="13"/>
      <c r="J136" s="14"/>
      <c r="K136" s="47"/>
    </row>
    <row r="137" spans="1:12">
      <c r="A137" s="44" t="s">
        <v>5</v>
      </c>
      <c r="B137" s="46"/>
      <c r="C137" s="46"/>
      <c r="D137" s="46"/>
      <c r="E137" s="46">
        <f>B137+C137+D137</f>
        <v>0</v>
      </c>
      <c r="F137" s="71" t="s">
        <v>14</v>
      </c>
      <c r="G137" s="124"/>
      <c r="I137" s="12"/>
      <c r="J137" s="12"/>
      <c r="K137" s="47"/>
    </row>
    <row r="138" spans="1:12">
      <c r="I138" s="11"/>
      <c r="J138" s="12"/>
      <c r="K138" s="47"/>
    </row>
    <row r="139" spans="1:12">
      <c r="B139" s="73" t="s">
        <v>8</v>
      </c>
      <c r="C139" s="73" t="s">
        <v>7</v>
      </c>
      <c r="D139" s="73" t="s">
        <v>6</v>
      </c>
      <c r="E139" s="73" t="s">
        <v>10</v>
      </c>
      <c r="J139" s="13"/>
      <c r="K139" s="47"/>
    </row>
    <row r="140" spans="1:12">
      <c r="A140" s="44" t="s">
        <v>19</v>
      </c>
      <c r="B140" s="46">
        <f>(((B126+B127)/2*$G$126+(B131+B132)/2*$G$131+(B136+B137)/2*$G$136)/($G$126+$G$131+$G$136))/$B$120</f>
        <v>486.70081708896294</v>
      </c>
      <c r="C140" s="46">
        <f t="shared" ref="C140:D140" si="3">(((C126+C127)/2*$G$126+(C131+C132)/2*$G$131+(C136+C137)/2*$G$136)/($G$126+$G$131+$G$136))/$B$120</f>
        <v>137.40388031308373</v>
      </c>
      <c r="D140" s="46">
        <f t="shared" si="3"/>
        <v>98.271851113326676</v>
      </c>
      <c r="E140" s="46">
        <f>B140+C140+D140</f>
        <v>722.37654851537332</v>
      </c>
    </row>
    <row r="143" spans="1:12" ht="30">
      <c r="A143" s="74" t="s">
        <v>103</v>
      </c>
      <c r="B143" s="67" t="s">
        <v>78</v>
      </c>
      <c r="C143" s="67" t="s">
        <v>80</v>
      </c>
      <c r="D143" s="44" t="s">
        <v>81</v>
      </c>
      <c r="E143" s="67" t="s">
        <v>79</v>
      </c>
    </row>
    <row r="144" spans="1:12">
      <c r="A144" s="56">
        <f>(J16*(G11+G16+G21)+J41*(G36+G41)+J61*(G56+G61)+J81*(G76+G81)+J106*(G101+G106+G111)+J131*(G126+G131+G136))/(G11+G16+G21+G36+G41+G56+G61+G76+G81+G101+G106+G111+G126+G131+G136)</f>
        <v>6372.2502452010658</v>
      </c>
      <c r="B144" s="63">
        <f>(B25*$J$15+B45*$J$40+B65*$J$60+B90*$J$80+B115*$J$105+B140*$J$130)/($J$15+$J$40+$J$60+$J$80+$J$105+$J$130)</f>
        <v>378.25293860412023</v>
      </c>
      <c r="C144" s="63">
        <f>(C25*$J$15+C45*$J$40+C65*$J$60+C90*$J$80+C115*$J$105+C140*$J$130)/($J$15+$J$40+$J$60+$J$80+$J$105+$J$130)</f>
        <v>74.017210155821147</v>
      </c>
      <c r="D144" s="63">
        <f>(D25*$J$15+D45*$J$40+D65*$J$60+D90*$J$80+D115*$J$105+D140*$J$130)/($J$15+$J$40+$J$60+$J$80+$J$105+$J$130)</f>
        <v>36.079830390329668</v>
      </c>
      <c r="E144" s="63">
        <f>B144+C144+D144</f>
        <v>488.34997915027105</v>
      </c>
    </row>
    <row r="146" spans="1:2">
      <c r="A146" s="44" t="s">
        <v>83</v>
      </c>
      <c r="B146" s="68">
        <f>C144/E144</f>
        <v>0.15156591239055869</v>
      </c>
    </row>
  </sheetData>
  <mergeCells count="16">
    <mergeCell ref="G111:G112"/>
    <mergeCell ref="G126:G127"/>
    <mergeCell ref="G131:G132"/>
    <mergeCell ref="G136:G137"/>
    <mergeCell ref="G61:G62"/>
    <mergeCell ref="G76:G77"/>
    <mergeCell ref="G81:G82"/>
    <mergeCell ref="G86:G87"/>
    <mergeCell ref="G101:G102"/>
    <mergeCell ref="G106:G107"/>
    <mergeCell ref="G56:G57"/>
    <mergeCell ref="G11:G12"/>
    <mergeCell ref="G16:G17"/>
    <mergeCell ref="G21:G22"/>
    <mergeCell ref="G36:G37"/>
    <mergeCell ref="G41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Colombia</vt:lpstr>
      <vt:lpstr>Colombia (2)</vt:lpstr>
      <vt:lpstr>México</vt:lpstr>
      <vt:lpstr>México (2)</vt:lpstr>
      <vt:lpstr>EEUU</vt:lpstr>
      <vt:lpstr>EEUU (2)</vt:lpstr>
      <vt:lpstr>Canadá</vt:lpstr>
      <vt:lpstr>Canadá (2)</vt:lpstr>
      <vt:lpstr>Argentina</vt:lpstr>
      <vt:lpstr>Argentina (2)</vt:lpstr>
      <vt:lpstr>Chile</vt:lpstr>
      <vt:lpstr>Chile (2)</vt:lpstr>
      <vt:lpstr>Perú</vt:lpstr>
      <vt:lpstr>Perú (2)</vt:lpstr>
      <vt:lpstr>Brasil</vt:lpstr>
      <vt:lpstr>Brasil (2)</vt:lpstr>
      <vt:lpstr>España</vt:lpstr>
      <vt:lpstr>España (2)</vt:lpstr>
      <vt:lpstr>Francia</vt:lpstr>
      <vt:lpstr>Francia (2)</vt:lpstr>
      <vt:lpstr>Resultados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Garmendia Mora</dc:creator>
  <cp:lastModifiedBy>Juan Carlos Garmendia Mora</cp:lastModifiedBy>
  <cp:lastPrinted>2018-12-04T12:31:59Z</cp:lastPrinted>
  <dcterms:created xsi:type="dcterms:W3CDTF">2018-09-18T19:24:26Z</dcterms:created>
  <dcterms:modified xsi:type="dcterms:W3CDTF">2018-12-10T13:00:32Z</dcterms:modified>
</cp:coreProperties>
</file>